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autoCompressPictures="0"/>
  <bookViews>
    <workbookView xWindow="165" yWindow="60" windowWidth="15600" windowHeight="11760" tabRatio="825"/>
  </bookViews>
  <sheets>
    <sheet name="Tourbr.com (introdução)" sheetId="16" r:id="rId1"/>
    <sheet name="Premissas" sheetId="1" r:id="rId2"/>
    <sheet name="Receita" sheetId="7" r:id="rId3"/>
    <sheet name="Investimentos_infra" sheetId="8" r:id="rId4"/>
    <sheet name="Despesas" sheetId="9" r:id="rId5"/>
    <sheet name="Custos" sheetId="6" r:id="rId6"/>
    <sheet name="Funcionários" sheetId="5" r:id="rId7"/>
    <sheet name="Resultados" sheetId="15" r:id="rId8"/>
  </sheets>
  <definedNames>
    <definedName name="Aluguel_condomínio_e_IPTU_imóvel">Premissas!#REF!</definedName>
    <definedName name="assinatura">Premissas!$B$23</definedName>
    <definedName name="Benefícios_Funcionários_Assistência_Médica">Premissas!#REF!</definedName>
    <definedName name="Benefícios_Funcionários_VISA_VALE">Premissas!#REF!</definedName>
    <definedName name="Cancelamento_da_transferência_de_proprietário">Premissas!#REF!</definedName>
    <definedName name="Cancelamento_do_Gravame">Premissas!#REF!</definedName>
    <definedName name="Company">Premissas!$B$7</definedName>
    <definedName name="Comunicação_de_venda_arrendamento_mercantil">Premissas!#REF!</definedName>
    <definedName name="Consulta_a_base_de_dados__Estadual_e_Federal">Premissas!#REF!</definedName>
    <definedName name="Consulta_de_histórico_do_veículo">Premissas!#REF!</definedName>
    <definedName name="csll">Premissas!$B$20</definedName>
    <definedName name="currency">Premissas!$B$10</definedName>
    <definedName name="Custo_Mensal_Hospedagem_dedicada">Premissas!#REF!</definedName>
    <definedName name="Custo_Mensal_Telefonia_e_Internet">Premissas!#REF!</definedName>
    <definedName name="Custo_Sistema_Cancel_Transf_Proprietário">Premissas!#REF!</definedName>
    <definedName name="Custo_Sistema_Cancelamento_Gravame">Premissas!#REF!</definedName>
    <definedName name="Custo_Sistema_Comunicação_de_venda_arrendamento_mercantil">Premissas!#REF!</definedName>
    <definedName name="Custo_Sistema_Consulta_Base_Dados">Premissas!#REF!</definedName>
    <definedName name="Custo_Sistema_Consulta_Histórico">Premissas!#REF!</definedName>
    <definedName name="Custo_Sistema_Quitação_Baixa_Gravame">Premissas!#REF!</definedName>
    <definedName name="Custo_Sistema_Registro_Contrato_Alienação_Fiduciária">Premissas!#REF!</definedName>
    <definedName name="Custo_Sistema_Registro_Gravame">Premissas!#REF!</definedName>
    <definedName name="Custo_Sistema_Transferência">Premissas!#REF!</definedName>
    <definedName name="Demanda_Acre">Premissas!#REF!</definedName>
    <definedName name="Demanda_Alagoas">Premissas!#REF!</definedName>
    <definedName name="Demanda_Amapá">Premissas!#REF!</definedName>
    <definedName name="Demanda_Amazonas">Premissas!#REF!</definedName>
    <definedName name="Demanda_Bahia">Premissas!#REF!</definedName>
    <definedName name="Demanda_Ceará">Premissas!#REF!</definedName>
    <definedName name="Demanda_Distrito_Federal">Premissas!#REF!</definedName>
    <definedName name="Demanda_Espírito_Santo">Premissas!#REF!</definedName>
    <definedName name="Demanda_Goiás">Premissas!#REF!</definedName>
    <definedName name="Demanda_Maranhão">Premissas!#REF!</definedName>
    <definedName name="Demanda_Mato_Grosso">Premissas!#REF!</definedName>
    <definedName name="Demanda_Mato_Grosso_do_Sul">Premissas!#REF!</definedName>
    <definedName name="Demanda_Minas_Gerais">Premissas!#REF!</definedName>
    <definedName name="Demanda_Pará">Premissas!#REF!</definedName>
    <definedName name="Demanda_Paraíba">Premissas!#REF!</definedName>
    <definedName name="Demanda_Paraná">Premissas!#REF!</definedName>
    <definedName name="Demanda_Pernambuco">Premissas!#REF!</definedName>
    <definedName name="Demanda_Piauí">Premissas!#REF!</definedName>
    <definedName name="Demanda_Rio_de_Janeiro">Premissas!#REF!</definedName>
    <definedName name="Demanda_Rio_Grande_do_Norte">Premissas!#REF!</definedName>
    <definedName name="Demanda_Rio_Grande_do_Sul">Premissas!#REF!</definedName>
    <definedName name="Demanda_Rondônia">Premissas!#REF!</definedName>
    <definedName name="Demanda_Roraima">Premissas!#REF!</definedName>
    <definedName name="Demanda_Santa_Catarina">Premissas!#REF!</definedName>
    <definedName name="Demanda_São_Paulo">Premissas!#REF!</definedName>
    <definedName name="Demanda_Sergipe">Premissas!#REF!</definedName>
    <definedName name="Demanda_Tocantins">Premissas!#REF!</definedName>
    <definedName name="Desconto_em_relação_ao_concorrente">Premissas!#REF!</definedName>
    <definedName name="Desenvolvimento_Novos_Produtos_Porcentual_do_faturamento">Premissas!#REF!</definedName>
    <definedName name="Desp_MKT_Divulgação">Premissas!#REF!</definedName>
    <definedName name="Desp_MKT_Relacionamento">Premissas!#REF!</definedName>
    <definedName name="Desp_MKT_Viagens">Premissas!#REF!</definedName>
    <definedName name="Desp_Novo_Escritório_Comercial_Aluguel_condomínio_e_IPTU_imóvel">Premissas!#REF!</definedName>
    <definedName name="Desp_Novo_Escritório_Comercial_Infra_estrutura_geral">Premissas!#REF!</definedName>
    <definedName name="Desp_Novo_Escritório_Comercial_Telefonia">Premissas!#REF!</definedName>
    <definedName name="Despesa_Mensal_Aluguel__condomínio_e_IPTU_imóvel">Premissas!#REF!</definedName>
    <definedName name="Despesa_Mensal_Assessoria_jurídica">Premissas!#REF!</definedName>
    <definedName name="Despesa_Mensal_Contador">Premissas!#REF!</definedName>
    <definedName name="Despesa_Mensal_Despesas_Bancárias">Premissas!#REF!</definedName>
    <definedName name="Despesa_Mensal_Energia_Elétrica">Premissas!#REF!</definedName>
    <definedName name="Despesa_Mensal_Limpeza_e_copa_terceirizado">Premissas!#REF!</definedName>
    <definedName name="Despesa_Mensal_Material_Escritório">Premissas!#REF!</definedName>
    <definedName name="Despesa_Mensal_Material_Informática">Premissas!#REF!</definedName>
    <definedName name="Despesa_Mensal_Outros">Premissas!#REF!</definedName>
    <definedName name="Despesa_Mensal_Treinamento">Premissas!#REF!</definedName>
    <definedName name="emailmkt">Premissas!$B$63</definedName>
    <definedName name="emp">Premissas!#REF!</definedName>
    <definedName name="Encargos_sobre_Salários_dos_Estagiários">Premissas!#REF!</definedName>
    <definedName name="Encargos_sobre_Salários_dos_Funcionários">Premissas!#REF!</definedName>
    <definedName name="Encargos_sobre_Salários_dos_Sócios">Premissas!#REF!</definedName>
    <definedName name="end">Premissas!$B$9</definedName>
    <definedName name="Energia_Elétrica">Premissas!#REF!</definedName>
    <definedName name="imp_fat">Premissas!$B$18</definedName>
    <definedName name="Impostos_CSLL">Premissas!#REF!</definedName>
    <definedName name="Impostos_Impostos_sobre_receita_bruta_pis_iss_cofins">Premissas!#REF!</definedName>
    <definedName name="Impostos_IR">Premissas!#REF!</definedName>
    <definedName name="Invest_Pré_Oper_Infra_Estrutura">Premissas!#REF!</definedName>
    <definedName name="Invest_Pré_Operacional_Infra_Estrutura">Premissas!#REF!</definedName>
    <definedName name="Invest_Pré_Operacional_Outros">Premissas!#REF!</definedName>
    <definedName name="ir">Premissas!$B$19</definedName>
    <definedName name="ir_csll">Premissas!$B$20</definedName>
    <definedName name="ISS">Premissas!$B$16</definedName>
    <definedName name="Material_de_Escritório">Premissas!#REF!</definedName>
    <definedName name="Material_de_Informática">Premissas!#REF!</definedName>
    <definedName name="Quitação_e_ou_baixa_de_Gravame">Premissas!#REF!</definedName>
    <definedName name="reajuste">Premissas!$B$15</definedName>
    <definedName name="reajuste_sal">Premissas!$B$16</definedName>
    <definedName name="rec_bov">Premissas!#REF!</definedName>
    <definedName name="rec_bov2">Premissas!#REF!</definedName>
    <definedName name="rec_ovi">Premissas!#REF!</definedName>
    <definedName name="Registro_de_Gravame">Premissas!#REF!</definedName>
    <definedName name="Registro_do_Contrato_de_alienação_fiduciária">Premissas!#REF!</definedName>
    <definedName name="roy_bov">Premissas!#REF!</definedName>
    <definedName name="roy_bov2">Premissas!#REF!</definedName>
    <definedName name="roy_ovi">Premissas!#REF!</definedName>
    <definedName name="start">Premissas!$B$8</definedName>
    <definedName name="Transferência_de_propriedade">Premissas!#REF!</definedName>
    <definedName name="Valores_FENASEG_Cancelamento_Gravame">Premissas!#REF!</definedName>
    <definedName name="Valores_FENASEG_Cancelamento_Transf_Proprietário">Premissas!#REF!</definedName>
    <definedName name="Valores_FENASEG_Comunicação_de_venda_arrendamento_mercantil">Premissas!#REF!</definedName>
    <definedName name="Valores_FENASEG_Consulta_Base_Dados">Premissas!#REF!</definedName>
    <definedName name="Valores_FENASEG_Consulta_Histórico_Veículo">Premissas!#REF!</definedName>
    <definedName name="Valores_FENASEG_Quitação_Baixa_Gravame">Premissas!#REF!</definedName>
    <definedName name="Valores_FENASEG_Registro_Contrato_Alienação_Fiduciária">Premissas!#REF!</definedName>
    <definedName name="Valores_FENASEG_Registro_gravame">Premissas!#REF!</definedName>
    <definedName name="Valores_FENASEG_Transferência_Propriedade">Premissas!#REF!</definedName>
    <definedName name="Valores_Tecnobank_Cancelamento_Gravame">Premissas!#REF!</definedName>
    <definedName name="Valores_Tecnobank_Cancelamento_Transf_Proprietário">Premissas!#REF!</definedName>
    <definedName name="Valores_Tecnobank_Comunicação_de_venda_arrendamento_mercantil">Premissas!#REF!</definedName>
    <definedName name="Valores_Tecnobank_Consulta_Base_Dados">Premissas!#REF!</definedName>
    <definedName name="Valores_Tecnobank_Consulta_Histórico_Veículo">Premissas!#REF!</definedName>
    <definedName name="Valores_Tecnobank_Quitação_Baixa_Gravame">Premissas!#REF!</definedName>
    <definedName name="Valores_Tecnobank_Registro_Contrato_Alienação_Fiduciária">Premissas!#REF!</definedName>
    <definedName name="Valores_Tecnobank_Registro_gravame">Premissas!#REF!</definedName>
    <definedName name="Valores_Tecnobank_Transferência_Propriedade">Premissas!#REF!</definedName>
  </definedNames>
  <calcPr calcId="145621" concurrentCalc="0"/>
  <extLst>
    <ext xmlns:mx="http://schemas.microsoft.com/office/mac/excel/2008/main" uri="http://schemas.microsoft.com/office/mac/excel/2008/main">
      <mx:ArchID Flags="0"/>
    </ext>
  </extLst>
</workbook>
</file>

<file path=xl/calcChain.xml><?xml version="1.0" encoding="utf-8"?>
<calcChain xmlns="http://schemas.openxmlformats.org/spreadsheetml/2006/main">
  <c r="F11" i="8" l="1"/>
  <c r="E11" i="8"/>
  <c r="D11" i="8"/>
  <c r="C11" i="8"/>
  <c r="AY6" i="9"/>
  <c r="AZ6" i="9"/>
  <c r="BA6" i="9"/>
  <c r="BB6" i="9"/>
  <c r="BC6" i="9"/>
  <c r="BD6" i="9"/>
  <c r="BE6" i="9"/>
  <c r="BF6" i="9"/>
  <c r="BG6" i="9"/>
  <c r="BH6" i="9"/>
  <c r="BI6" i="9"/>
  <c r="F22" i="9"/>
  <c r="C7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F23" i="9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F24" i="9"/>
  <c r="AY9" i="9"/>
  <c r="AZ9" i="9"/>
  <c r="BA9" i="9"/>
  <c r="BC9" i="9"/>
  <c r="BD9" i="9"/>
  <c r="BE9" i="9"/>
  <c r="BF9" i="9"/>
  <c r="BG9" i="9"/>
  <c r="BH9" i="9"/>
  <c r="BI9" i="9"/>
  <c r="F25" i="9"/>
  <c r="AY10" i="9"/>
  <c r="AZ10" i="9"/>
  <c r="BA10" i="9"/>
  <c r="BB10" i="9"/>
  <c r="BC10" i="9"/>
  <c r="BD10" i="9"/>
  <c r="BE10" i="9"/>
  <c r="BF10" i="9"/>
  <c r="BG10" i="9"/>
  <c r="BH10" i="9"/>
  <c r="BI10" i="9"/>
  <c r="F26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F27" i="9"/>
  <c r="AY12" i="9"/>
  <c r="AZ12" i="9"/>
  <c r="BA12" i="9"/>
  <c r="BB12" i="9"/>
  <c r="BC12" i="9"/>
  <c r="BD12" i="9"/>
  <c r="BE12" i="9"/>
  <c r="BF12" i="9"/>
  <c r="BG12" i="9"/>
  <c r="BH12" i="9"/>
  <c r="BI12" i="9"/>
  <c r="F28" i="9"/>
  <c r="AY13" i="9"/>
  <c r="AZ13" i="9"/>
  <c r="BA13" i="9"/>
  <c r="BB13" i="9"/>
  <c r="BC13" i="9"/>
  <c r="BD13" i="9"/>
  <c r="BE13" i="9"/>
  <c r="BF13" i="9"/>
  <c r="BG13" i="9"/>
  <c r="BH13" i="9"/>
  <c r="BI13" i="9"/>
  <c r="F29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F30" i="9"/>
  <c r="AZ15" i="9"/>
  <c r="BA15" i="9"/>
  <c r="BB15" i="9"/>
  <c r="BC15" i="9"/>
  <c r="BD15" i="9"/>
  <c r="BE15" i="9"/>
  <c r="BF15" i="9"/>
  <c r="BG15" i="9"/>
  <c r="BH15" i="9"/>
  <c r="BI15" i="9"/>
  <c r="F31" i="9"/>
  <c r="AZ16" i="9"/>
  <c r="BA16" i="9"/>
  <c r="BB16" i="9"/>
  <c r="BC16" i="9"/>
  <c r="BD16" i="9"/>
  <c r="BE16" i="9"/>
  <c r="BF16" i="9"/>
  <c r="BG16" i="9"/>
  <c r="BH16" i="9"/>
  <c r="BI16" i="9"/>
  <c r="F32" i="9"/>
  <c r="C5" i="9"/>
  <c r="D5" i="9"/>
  <c r="E5" i="9"/>
  <c r="F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AR5" i="9"/>
  <c r="AS5" i="9"/>
  <c r="AT5" i="9"/>
  <c r="AU5" i="9"/>
  <c r="AV5" i="9"/>
  <c r="AW5" i="9"/>
  <c r="AX5" i="9"/>
  <c r="AY5" i="9"/>
  <c r="AZ5" i="9"/>
  <c r="BA5" i="9"/>
  <c r="BB5" i="9"/>
  <c r="BC5" i="9"/>
  <c r="BD5" i="9"/>
  <c r="BE5" i="9"/>
  <c r="BF5" i="9"/>
  <c r="BG5" i="9"/>
  <c r="BH5" i="9"/>
  <c r="BI5" i="9"/>
  <c r="F21" i="9"/>
  <c r="B42" i="1"/>
  <c r="B46" i="1"/>
  <c r="B47" i="1"/>
  <c r="B25" i="7"/>
  <c r="B26" i="7"/>
  <c r="B5" i="15"/>
  <c r="B29" i="1"/>
  <c r="B9" i="7"/>
  <c r="B10" i="7"/>
  <c r="B6" i="15"/>
  <c r="B62" i="1"/>
  <c r="B63" i="1"/>
  <c r="B34" i="1"/>
  <c r="B36" i="1"/>
  <c r="B37" i="1"/>
  <c r="B38" i="1"/>
  <c r="B39" i="1"/>
  <c r="B66" i="1"/>
  <c r="B13" i="7"/>
  <c r="B14" i="7"/>
  <c r="B7" i="15"/>
  <c r="B22" i="7"/>
  <c r="B8" i="15"/>
  <c r="B57" i="1"/>
  <c r="B56" i="1"/>
  <c r="B64" i="1"/>
  <c r="B5" i="7"/>
  <c r="B6" i="7"/>
  <c r="B9" i="15"/>
  <c r="B48" i="1"/>
  <c r="B58" i="1"/>
  <c r="B60" i="1"/>
  <c r="B65" i="1"/>
  <c r="B17" i="7"/>
  <c r="B18" i="7"/>
  <c r="B10" i="15"/>
  <c r="B11" i="15"/>
  <c r="B18" i="1"/>
  <c r="B12" i="15"/>
  <c r="B13" i="15"/>
  <c r="B53" i="1"/>
  <c r="B6" i="6"/>
  <c r="B10" i="6"/>
  <c r="B14" i="15"/>
  <c r="B6" i="8"/>
  <c r="B7" i="8"/>
  <c r="B15" i="15"/>
  <c r="B17" i="9"/>
  <c r="B16" i="1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60" i="5"/>
  <c r="B17" i="15"/>
  <c r="B18" i="15"/>
  <c r="B19" i="15"/>
  <c r="B20" i="15"/>
  <c r="B21" i="15"/>
  <c r="C25" i="7"/>
  <c r="C26" i="7"/>
  <c r="C5" i="15"/>
  <c r="C9" i="7"/>
  <c r="C10" i="7"/>
  <c r="C6" i="15"/>
  <c r="C13" i="7"/>
  <c r="C14" i="7"/>
  <c r="C7" i="15"/>
  <c r="C22" i="7"/>
  <c r="C8" i="15"/>
  <c r="C5" i="7"/>
  <c r="C6" i="7"/>
  <c r="C9" i="15"/>
  <c r="C17" i="7"/>
  <c r="C18" i="7"/>
  <c r="C10" i="15"/>
  <c r="C11" i="15"/>
  <c r="C12" i="15"/>
  <c r="C13" i="15"/>
  <c r="C6" i="6"/>
  <c r="C7" i="6"/>
  <c r="C8" i="6"/>
  <c r="C9" i="6"/>
  <c r="C10" i="6"/>
  <c r="C14" i="15"/>
  <c r="C6" i="8"/>
  <c r="C7" i="8"/>
  <c r="C15" i="15"/>
  <c r="C6" i="9"/>
  <c r="C10" i="9"/>
  <c r="C12" i="9"/>
  <c r="C13" i="9"/>
  <c r="C17" i="9"/>
  <c r="C16" i="15"/>
  <c r="C43" i="5"/>
  <c r="C26" i="5"/>
  <c r="C9" i="5"/>
  <c r="C44" i="5"/>
  <c r="C45" i="5"/>
  <c r="C28" i="5"/>
  <c r="C11" i="5"/>
  <c r="C46" i="5"/>
  <c r="C29" i="5"/>
  <c r="C12" i="5"/>
  <c r="C47" i="5"/>
  <c r="C30" i="5"/>
  <c r="C13" i="5"/>
  <c r="C48" i="5"/>
  <c r="C31" i="5"/>
  <c r="C14" i="5"/>
  <c r="C49" i="5"/>
  <c r="C50" i="5"/>
  <c r="C33" i="5"/>
  <c r="C16" i="5"/>
  <c r="C51" i="5"/>
  <c r="C34" i="5"/>
  <c r="C52" i="5"/>
  <c r="C35" i="5"/>
  <c r="C53" i="5"/>
  <c r="C36" i="5"/>
  <c r="C19" i="5"/>
  <c r="C54" i="5"/>
  <c r="C55" i="5"/>
  <c r="C38" i="5"/>
  <c r="C21" i="5"/>
  <c r="C56" i="5"/>
  <c r="C39" i="5"/>
  <c r="C22" i="5"/>
  <c r="C57" i="5"/>
  <c r="C40" i="5"/>
  <c r="C23" i="5"/>
  <c r="C58" i="5"/>
  <c r="C60" i="5"/>
  <c r="C17" i="15"/>
  <c r="C18" i="15"/>
  <c r="C19" i="15"/>
  <c r="C20" i="15"/>
  <c r="C21" i="15"/>
  <c r="D25" i="7"/>
  <c r="D26" i="7"/>
  <c r="D5" i="15"/>
  <c r="D9" i="7"/>
  <c r="D10" i="7"/>
  <c r="D6" i="15"/>
  <c r="D13" i="7"/>
  <c r="D14" i="7"/>
  <c r="D7" i="15"/>
  <c r="D22" i="7"/>
  <c r="D8" i="15"/>
  <c r="D5" i="7"/>
  <c r="D6" i="7"/>
  <c r="D9" i="15"/>
  <c r="D17" i="7"/>
  <c r="D18" i="7"/>
  <c r="D10" i="15"/>
  <c r="D11" i="15"/>
  <c r="D12" i="15"/>
  <c r="D13" i="15"/>
  <c r="D6" i="6"/>
  <c r="D7" i="6"/>
  <c r="D8" i="6"/>
  <c r="D9" i="6"/>
  <c r="D10" i="6"/>
  <c r="D14" i="15"/>
  <c r="D6" i="8"/>
  <c r="D7" i="8"/>
  <c r="D15" i="15"/>
  <c r="D6" i="9"/>
  <c r="D9" i="9"/>
  <c r="D10" i="9"/>
  <c r="D12" i="9"/>
  <c r="D13" i="9"/>
  <c r="D15" i="9"/>
  <c r="D16" i="9"/>
  <c r="D17" i="9"/>
  <c r="D16" i="15"/>
  <c r="D43" i="5"/>
  <c r="D26" i="5"/>
  <c r="D9" i="5"/>
  <c r="D44" i="5"/>
  <c r="D45" i="5"/>
  <c r="D28" i="5"/>
  <c r="D11" i="5"/>
  <c r="D46" i="5"/>
  <c r="D29" i="5"/>
  <c r="D12" i="5"/>
  <c r="D47" i="5"/>
  <c r="D30" i="5"/>
  <c r="D13" i="5"/>
  <c r="D48" i="5"/>
  <c r="D31" i="5"/>
  <c r="D14" i="5"/>
  <c r="D49" i="5"/>
  <c r="D50" i="5"/>
  <c r="D33" i="5"/>
  <c r="D16" i="5"/>
  <c r="D51" i="5"/>
  <c r="D34" i="5"/>
  <c r="D52" i="5"/>
  <c r="D35" i="5"/>
  <c r="D53" i="5"/>
  <c r="D36" i="5"/>
  <c r="D19" i="5"/>
  <c r="D54" i="5"/>
  <c r="D55" i="5"/>
  <c r="D38" i="5"/>
  <c r="D21" i="5"/>
  <c r="D56" i="5"/>
  <c r="D39" i="5"/>
  <c r="D22" i="5"/>
  <c r="D57" i="5"/>
  <c r="D40" i="5"/>
  <c r="D23" i="5"/>
  <c r="D58" i="5"/>
  <c r="D60" i="5"/>
  <c r="D17" i="15"/>
  <c r="D18" i="15"/>
  <c r="D19" i="15"/>
  <c r="D20" i="15"/>
  <c r="D21" i="15"/>
  <c r="E25" i="7"/>
  <c r="E26" i="7"/>
  <c r="E5" i="15"/>
  <c r="E9" i="7"/>
  <c r="E10" i="7"/>
  <c r="E6" i="15"/>
  <c r="E13" i="7"/>
  <c r="E14" i="7"/>
  <c r="E7" i="15"/>
  <c r="E22" i="7"/>
  <c r="E8" i="15"/>
  <c r="E5" i="7"/>
  <c r="E6" i="7"/>
  <c r="E9" i="15"/>
  <c r="E17" i="7"/>
  <c r="E18" i="7"/>
  <c r="E10" i="15"/>
  <c r="E11" i="15"/>
  <c r="E12" i="15"/>
  <c r="E13" i="15"/>
  <c r="E6" i="6"/>
  <c r="E7" i="6"/>
  <c r="E8" i="6"/>
  <c r="E9" i="6"/>
  <c r="E10" i="6"/>
  <c r="E14" i="15"/>
  <c r="E6" i="8"/>
  <c r="E7" i="8"/>
  <c r="E15" i="15"/>
  <c r="E6" i="9"/>
  <c r="E9" i="9"/>
  <c r="E10" i="9"/>
  <c r="E12" i="9"/>
  <c r="E13" i="9"/>
  <c r="E15" i="9"/>
  <c r="E16" i="9"/>
  <c r="E17" i="9"/>
  <c r="E16" i="15"/>
  <c r="E43" i="5"/>
  <c r="E26" i="5"/>
  <c r="E9" i="5"/>
  <c r="E44" i="5"/>
  <c r="E45" i="5"/>
  <c r="E28" i="5"/>
  <c r="E11" i="5"/>
  <c r="E46" i="5"/>
  <c r="E29" i="5"/>
  <c r="E12" i="5"/>
  <c r="E47" i="5"/>
  <c r="E30" i="5"/>
  <c r="E13" i="5"/>
  <c r="E48" i="5"/>
  <c r="E31" i="5"/>
  <c r="E14" i="5"/>
  <c r="E49" i="5"/>
  <c r="E50" i="5"/>
  <c r="E33" i="5"/>
  <c r="E16" i="5"/>
  <c r="E51" i="5"/>
  <c r="E34" i="5"/>
  <c r="E52" i="5"/>
  <c r="E35" i="5"/>
  <c r="E53" i="5"/>
  <c r="E36" i="5"/>
  <c r="E19" i="5"/>
  <c r="E54" i="5"/>
  <c r="E55" i="5"/>
  <c r="E38" i="5"/>
  <c r="E21" i="5"/>
  <c r="E56" i="5"/>
  <c r="E39" i="5"/>
  <c r="E22" i="5"/>
  <c r="E57" i="5"/>
  <c r="E40" i="5"/>
  <c r="E23" i="5"/>
  <c r="E58" i="5"/>
  <c r="E60" i="5"/>
  <c r="E17" i="15"/>
  <c r="E18" i="15"/>
  <c r="E19" i="15"/>
  <c r="E20" i="15"/>
  <c r="E21" i="15"/>
  <c r="F25" i="7"/>
  <c r="F26" i="7"/>
  <c r="F5" i="15"/>
  <c r="F9" i="7"/>
  <c r="F10" i="7"/>
  <c r="F6" i="15"/>
  <c r="F13" i="7"/>
  <c r="F14" i="7"/>
  <c r="F7" i="15"/>
  <c r="F22" i="7"/>
  <c r="F8" i="15"/>
  <c r="F5" i="7"/>
  <c r="F6" i="7"/>
  <c r="F9" i="15"/>
  <c r="F17" i="7"/>
  <c r="F18" i="7"/>
  <c r="F10" i="15"/>
  <c r="F11" i="15"/>
  <c r="F12" i="15"/>
  <c r="F13" i="15"/>
  <c r="F6" i="6"/>
  <c r="F7" i="6"/>
  <c r="F8" i="6"/>
  <c r="F9" i="6"/>
  <c r="F10" i="6"/>
  <c r="F14" i="15"/>
  <c r="F6" i="8"/>
  <c r="F7" i="8"/>
  <c r="F15" i="15"/>
  <c r="F6" i="9"/>
  <c r="F10" i="9"/>
  <c r="F12" i="9"/>
  <c r="F13" i="9"/>
  <c r="F15" i="9"/>
  <c r="F16" i="9"/>
  <c r="F17" i="9"/>
  <c r="F16" i="15"/>
  <c r="F43" i="5"/>
  <c r="F26" i="5"/>
  <c r="F9" i="5"/>
  <c r="F44" i="5"/>
  <c r="F45" i="5"/>
  <c r="F28" i="5"/>
  <c r="F11" i="5"/>
  <c r="F46" i="5"/>
  <c r="F29" i="5"/>
  <c r="F12" i="5"/>
  <c r="F47" i="5"/>
  <c r="F30" i="5"/>
  <c r="F13" i="5"/>
  <c r="F48" i="5"/>
  <c r="F31" i="5"/>
  <c r="F14" i="5"/>
  <c r="F49" i="5"/>
  <c r="F50" i="5"/>
  <c r="F33" i="5"/>
  <c r="F16" i="5"/>
  <c r="F51" i="5"/>
  <c r="F34" i="5"/>
  <c r="F52" i="5"/>
  <c r="F35" i="5"/>
  <c r="F53" i="5"/>
  <c r="F36" i="5"/>
  <c r="F19" i="5"/>
  <c r="F54" i="5"/>
  <c r="F55" i="5"/>
  <c r="F38" i="5"/>
  <c r="F21" i="5"/>
  <c r="F56" i="5"/>
  <c r="F39" i="5"/>
  <c r="F22" i="5"/>
  <c r="F57" i="5"/>
  <c r="F40" i="5"/>
  <c r="F23" i="5"/>
  <c r="F58" i="5"/>
  <c r="F60" i="5"/>
  <c r="F17" i="15"/>
  <c r="F18" i="15"/>
  <c r="F19" i="15"/>
  <c r="F20" i="15"/>
  <c r="F21" i="15"/>
  <c r="G25" i="7"/>
  <c r="G26" i="7"/>
  <c r="G5" i="15"/>
  <c r="G9" i="7"/>
  <c r="G10" i="7"/>
  <c r="G6" i="15"/>
  <c r="G13" i="7"/>
  <c r="G14" i="7"/>
  <c r="G7" i="15"/>
  <c r="G22" i="7"/>
  <c r="G8" i="15"/>
  <c r="G5" i="7"/>
  <c r="G6" i="7"/>
  <c r="G9" i="15"/>
  <c r="G17" i="7"/>
  <c r="G18" i="7"/>
  <c r="G10" i="15"/>
  <c r="G11" i="15"/>
  <c r="G12" i="15"/>
  <c r="G13" i="15"/>
  <c r="G6" i="6"/>
  <c r="G7" i="6"/>
  <c r="G8" i="6"/>
  <c r="G9" i="6"/>
  <c r="G10" i="6"/>
  <c r="G14" i="15"/>
  <c r="G6" i="8"/>
  <c r="G7" i="8"/>
  <c r="G15" i="15"/>
  <c r="G6" i="9"/>
  <c r="G9" i="9"/>
  <c r="G10" i="9"/>
  <c r="G12" i="9"/>
  <c r="G13" i="9"/>
  <c r="G15" i="9"/>
  <c r="G16" i="9"/>
  <c r="G17" i="9"/>
  <c r="G16" i="15"/>
  <c r="G43" i="5"/>
  <c r="G26" i="5"/>
  <c r="G9" i="5"/>
  <c r="G44" i="5"/>
  <c r="G45" i="5"/>
  <c r="G28" i="5"/>
  <c r="G11" i="5"/>
  <c r="G46" i="5"/>
  <c r="G29" i="5"/>
  <c r="G12" i="5"/>
  <c r="G47" i="5"/>
  <c r="G30" i="5"/>
  <c r="G13" i="5"/>
  <c r="G48" i="5"/>
  <c r="G31" i="5"/>
  <c r="G14" i="5"/>
  <c r="G49" i="5"/>
  <c r="G50" i="5"/>
  <c r="G33" i="5"/>
  <c r="G16" i="5"/>
  <c r="G51" i="5"/>
  <c r="G34" i="5"/>
  <c r="G52" i="5"/>
  <c r="G35" i="5"/>
  <c r="G53" i="5"/>
  <c r="G36" i="5"/>
  <c r="G19" i="5"/>
  <c r="G54" i="5"/>
  <c r="G55" i="5"/>
  <c r="G38" i="5"/>
  <c r="G21" i="5"/>
  <c r="G56" i="5"/>
  <c r="G39" i="5"/>
  <c r="G57" i="5"/>
  <c r="G40" i="5"/>
  <c r="G23" i="5"/>
  <c r="G58" i="5"/>
  <c r="G60" i="5"/>
  <c r="G17" i="15"/>
  <c r="G18" i="15"/>
  <c r="G19" i="15"/>
  <c r="G20" i="15"/>
  <c r="G21" i="15"/>
  <c r="H25" i="7"/>
  <c r="H26" i="7"/>
  <c r="H5" i="15"/>
  <c r="H9" i="7"/>
  <c r="H10" i="7"/>
  <c r="H6" i="15"/>
  <c r="H13" i="7"/>
  <c r="H14" i="7"/>
  <c r="H7" i="15"/>
  <c r="H22" i="7"/>
  <c r="H8" i="15"/>
  <c r="H5" i="7"/>
  <c r="H6" i="7"/>
  <c r="H9" i="15"/>
  <c r="H17" i="7"/>
  <c r="H18" i="7"/>
  <c r="H10" i="15"/>
  <c r="H11" i="15"/>
  <c r="H12" i="15"/>
  <c r="H13" i="15"/>
  <c r="H6" i="6"/>
  <c r="H7" i="6"/>
  <c r="H8" i="6"/>
  <c r="H9" i="6"/>
  <c r="H10" i="6"/>
  <c r="H14" i="15"/>
  <c r="H6" i="8"/>
  <c r="H7" i="8"/>
  <c r="H15" i="15"/>
  <c r="H6" i="9"/>
  <c r="H9" i="9"/>
  <c r="H10" i="9"/>
  <c r="H12" i="9"/>
  <c r="H13" i="9"/>
  <c r="H15" i="9"/>
  <c r="H16" i="9"/>
  <c r="H17" i="9"/>
  <c r="H16" i="15"/>
  <c r="H43" i="5"/>
  <c r="H26" i="5"/>
  <c r="H9" i="5"/>
  <c r="H44" i="5"/>
  <c r="H45" i="5"/>
  <c r="H28" i="5"/>
  <c r="H11" i="5"/>
  <c r="H46" i="5"/>
  <c r="H29" i="5"/>
  <c r="H12" i="5"/>
  <c r="H47" i="5"/>
  <c r="H30" i="5"/>
  <c r="H13" i="5"/>
  <c r="H48" i="5"/>
  <c r="H31" i="5"/>
  <c r="H14" i="5"/>
  <c r="H49" i="5"/>
  <c r="H50" i="5"/>
  <c r="H33" i="5"/>
  <c r="H16" i="5"/>
  <c r="H51" i="5"/>
  <c r="H34" i="5"/>
  <c r="H52" i="5"/>
  <c r="H35" i="5"/>
  <c r="H53" i="5"/>
  <c r="H36" i="5"/>
  <c r="H19" i="5"/>
  <c r="H54" i="5"/>
  <c r="H55" i="5"/>
  <c r="H38" i="5"/>
  <c r="H56" i="5"/>
  <c r="H39" i="5"/>
  <c r="H22" i="5"/>
  <c r="H57" i="5"/>
  <c r="H40" i="5"/>
  <c r="H58" i="5"/>
  <c r="H60" i="5"/>
  <c r="H17" i="15"/>
  <c r="H18" i="15"/>
  <c r="H19" i="15"/>
  <c r="H20" i="15"/>
  <c r="H21" i="15"/>
  <c r="I25" i="7"/>
  <c r="I26" i="7"/>
  <c r="I5" i="15"/>
  <c r="I9" i="7"/>
  <c r="I10" i="7"/>
  <c r="I6" i="15"/>
  <c r="I13" i="7"/>
  <c r="I14" i="7"/>
  <c r="I7" i="15"/>
  <c r="I22" i="7"/>
  <c r="I8" i="15"/>
  <c r="I5" i="7"/>
  <c r="I6" i="7"/>
  <c r="I9" i="15"/>
  <c r="I17" i="7"/>
  <c r="I18" i="7"/>
  <c r="I10" i="15"/>
  <c r="I11" i="15"/>
  <c r="I12" i="15"/>
  <c r="I13" i="15"/>
  <c r="I6" i="6"/>
  <c r="I7" i="6"/>
  <c r="I8" i="6"/>
  <c r="I9" i="6"/>
  <c r="I10" i="6"/>
  <c r="I14" i="15"/>
  <c r="I6" i="8"/>
  <c r="I7" i="8"/>
  <c r="I15" i="15"/>
  <c r="I6" i="9"/>
  <c r="I9" i="9"/>
  <c r="I10" i="9"/>
  <c r="I12" i="9"/>
  <c r="I13" i="9"/>
  <c r="I15" i="9"/>
  <c r="I16" i="9"/>
  <c r="I17" i="9"/>
  <c r="I16" i="15"/>
  <c r="I43" i="5"/>
  <c r="I26" i="5"/>
  <c r="I9" i="5"/>
  <c r="I44" i="5"/>
  <c r="I45" i="5"/>
  <c r="I28" i="5"/>
  <c r="I11" i="5"/>
  <c r="I46" i="5"/>
  <c r="I29" i="5"/>
  <c r="I12" i="5"/>
  <c r="I47" i="5"/>
  <c r="I30" i="5"/>
  <c r="I13" i="5"/>
  <c r="I48" i="5"/>
  <c r="I31" i="5"/>
  <c r="I14" i="5"/>
  <c r="I49" i="5"/>
  <c r="I50" i="5"/>
  <c r="I33" i="5"/>
  <c r="I16" i="5"/>
  <c r="I51" i="5"/>
  <c r="I34" i="5"/>
  <c r="I52" i="5"/>
  <c r="I35" i="5"/>
  <c r="I53" i="5"/>
  <c r="I36" i="5"/>
  <c r="I19" i="5"/>
  <c r="I54" i="5"/>
  <c r="I55" i="5"/>
  <c r="I38" i="5"/>
  <c r="I21" i="5"/>
  <c r="I56" i="5"/>
  <c r="I39" i="5"/>
  <c r="I22" i="5"/>
  <c r="I57" i="5"/>
  <c r="I40" i="5"/>
  <c r="I23" i="5"/>
  <c r="I58" i="5"/>
  <c r="I60" i="5"/>
  <c r="I17" i="15"/>
  <c r="I18" i="15"/>
  <c r="I19" i="15"/>
  <c r="I20" i="15"/>
  <c r="I21" i="15"/>
  <c r="J25" i="7"/>
  <c r="J26" i="7"/>
  <c r="J5" i="15"/>
  <c r="J9" i="7"/>
  <c r="J10" i="7"/>
  <c r="J6" i="15"/>
  <c r="J13" i="7"/>
  <c r="J14" i="7"/>
  <c r="J7" i="15"/>
  <c r="J22" i="7"/>
  <c r="J8" i="15"/>
  <c r="J5" i="7"/>
  <c r="J6" i="7"/>
  <c r="J9" i="15"/>
  <c r="J17" i="7"/>
  <c r="J18" i="7"/>
  <c r="J10" i="15"/>
  <c r="J11" i="15"/>
  <c r="J12" i="15"/>
  <c r="J13" i="15"/>
  <c r="J6" i="6"/>
  <c r="J7" i="6"/>
  <c r="J8" i="6"/>
  <c r="J9" i="6"/>
  <c r="J10" i="6"/>
  <c r="J14" i="15"/>
  <c r="J6" i="8"/>
  <c r="J7" i="8"/>
  <c r="J15" i="15"/>
  <c r="J6" i="9"/>
  <c r="J9" i="9"/>
  <c r="J10" i="9"/>
  <c r="J12" i="9"/>
  <c r="J13" i="9"/>
  <c r="J15" i="9"/>
  <c r="J16" i="9"/>
  <c r="J17" i="9"/>
  <c r="J16" i="15"/>
  <c r="J43" i="5"/>
  <c r="J26" i="5"/>
  <c r="J9" i="5"/>
  <c r="J44" i="5"/>
  <c r="J45" i="5"/>
  <c r="J28" i="5"/>
  <c r="J11" i="5"/>
  <c r="J46" i="5"/>
  <c r="J29" i="5"/>
  <c r="J12" i="5"/>
  <c r="J47" i="5"/>
  <c r="J30" i="5"/>
  <c r="J13" i="5"/>
  <c r="J48" i="5"/>
  <c r="J31" i="5"/>
  <c r="J14" i="5"/>
  <c r="J49" i="5"/>
  <c r="J50" i="5"/>
  <c r="J33" i="5"/>
  <c r="J16" i="5"/>
  <c r="J51" i="5"/>
  <c r="J34" i="5"/>
  <c r="J52" i="5"/>
  <c r="J35" i="5"/>
  <c r="J53" i="5"/>
  <c r="J36" i="5"/>
  <c r="J19" i="5"/>
  <c r="J54" i="5"/>
  <c r="J55" i="5"/>
  <c r="J38" i="5"/>
  <c r="J21" i="5"/>
  <c r="J56" i="5"/>
  <c r="J39" i="5"/>
  <c r="J22" i="5"/>
  <c r="J57" i="5"/>
  <c r="J40" i="5"/>
  <c r="J23" i="5"/>
  <c r="J58" i="5"/>
  <c r="J60" i="5"/>
  <c r="J17" i="15"/>
  <c r="J18" i="15"/>
  <c r="J19" i="15"/>
  <c r="J20" i="15"/>
  <c r="J21" i="15"/>
  <c r="K25" i="7"/>
  <c r="K26" i="7"/>
  <c r="K5" i="15"/>
  <c r="K9" i="7"/>
  <c r="K10" i="7"/>
  <c r="K6" i="15"/>
  <c r="K13" i="7"/>
  <c r="K14" i="7"/>
  <c r="K7" i="15"/>
  <c r="K22" i="7"/>
  <c r="K8" i="15"/>
  <c r="K5" i="7"/>
  <c r="K6" i="7"/>
  <c r="K9" i="15"/>
  <c r="K17" i="7"/>
  <c r="K18" i="7"/>
  <c r="K10" i="15"/>
  <c r="K11" i="15"/>
  <c r="K12" i="15"/>
  <c r="K13" i="15"/>
  <c r="K6" i="6"/>
  <c r="K7" i="6"/>
  <c r="K8" i="6"/>
  <c r="K9" i="6"/>
  <c r="K10" i="6"/>
  <c r="K14" i="15"/>
  <c r="K6" i="8"/>
  <c r="K7" i="8"/>
  <c r="K15" i="15"/>
  <c r="K6" i="9"/>
  <c r="K9" i="9"/>
  <c r="K10" i="9"/>
  <c r="K12" i="9"/>
  <c r="K13" i="9"/>
  <c r="K15" i="9"/>
  <c r="K16" i="9"/>
  <c r="K17" i="9"/>
  <c r="K16" i="15"/>
  <c r="K43" i="5"/>
  <c r="K26" i="5"/>
  <c r="K9" i="5"/>
  <c r="K44" i="5"/>
  <c r="K45" i="5"/>
  <c r="K28" i="5"/>
  <c r="K11" i="5"/>
  <c r="K46" i="5"/>
  <c r="K29" i="5"/>
  <c r="K12" i="5"/>
  <c r="K47" i="5"/>
  <c r="K30" i="5"/>
  <c r="K13" i="5"/>
  <c r="K48" i="5"/>
  <c r="K31" i="5"/>
  <c r="K14" i="5"/>
  <c r="K49" i="5"/>
  <c r="K50" i="5"/>
  <c r="K33" i="5"/>
  <c r="K16" i="5"/>
  <c r="K51" i="5"/>
  <c r="K34" i="5"/>
  <c r="K52" i="5"/>
  <c r="K35" i="5"/>
  <c r="K53" i="5"/>
  <c r="K36" i="5"/>
  <c r="K19" i="5"/>
  <c r="K54" i="5"/>
  <c r="K55" i="5"/>
  <c r="K38" i="5"/>
  <c r="K21" i="5"/>
  <c r="K56" i="5"/>
  <c r="K39" i="5"/>
  <c r="K22" i="5"/>
  <c r="K57" i="5"/>
  <c r="K40" i="5"/>
  <c r="K23" i="5"/>
  <c r="K58" i="5"/>
  <c r="K60" i="5"/>
  <c r="K17" i="15"/>
  <c r="K18" i="15"/>
  <c r="K19" i="15"/>
  <c r="K20" i="15"/>
  <c r="K21" i="15"/>
  <c r="L25" i="7"/>
  <c r="L26" i="7"/>
  <c r="L5" i="15"/>
  <c r="L9" i="7"/>
  <c r="L10" i="7"/>
  <c r="L6" i="15"/>
  <c r="L13" i="7"/>
  <c r="L14" i="7"/>
  <c r="L7" i="15"/>
  <c r="L22" i="7"/>
  <c r="L8" i="15"/>
  <c r="L5" i="7"/>
  <c r="L6" i="7"/>
  <c r="L9" i="15"/>
  <c r="L17" i="7"/>
  <c r="L18" i="7"/>
  <c r="L10" i="15"/>
  <c r="L11" i="15"/>
  <c r="L12" i="15"/>
  <c r="L13" i="15"/>
  <c r="L6" i="6"/>
  <c r="L7" i="6"/>
  <c r="L8" i="6"/>
  <c r="L9" i="6"/>
  <c r="L10" i="6"/>
  <c r="L14" i="15"/>
  <c r="L6" i="8"/>
  <c r="L7" i="8"/>
  <c r="L15" i="15"/>
  <c r="L6" i="9"/>
  <c r="L9" i="9"/>
  <c r="L10" i="9"/>
  <c r="L12" i="9"/>
  <c r="L13" i="9"/>
  <c r="L15" i="9"/>
  <c r="L16" i="9"/>
  <c r="L17" i="9"/>
  <c r="L16" i="15"/>
  <c r="L43" i="5"/>
  <c r="L26" i="5"/>
  <c r="L9" i="5"/>
  <c r="L44" i="5"/>
  <c r="L45" i="5"/>
  <c r="L28" i="5"/>
  <c r="L11" i="5"/>
  <c r="L46" i="5"/>
  <c r="L29" i="5"/>
  <c r="L12" i="5"/>
  <c r="L47" i="5"/>
  <c r="L30" i="5"/>
  <c r="L13" i="5"/>
  <c r="L48" i="5"/>
  <c r="L31" i="5"/>
  <c r="L14" i="5"/>
  <c r="L49" i="5"/>
  <c r="L50" i="5"/>
  <c r="L33" i="5"/>
  <c r="L16" i="5"/>
  <c r="L51" i="5"/>
  <c r="L34" i="5"/>
  <c r="L52" i="5"/>
  <c r="L35" i="5"/>
  <c r="L53" i="5"/>
  <c r="L36" i="5"/>
  <c r="L19" i="5"/>
  <c r="L54" i="5"/>
  <c r="L55" i="5"/>
  <c r="L38" i="5"/>
  <c r="L21" i="5"/>
  <c r="L56" i="5"/>
  <c r="L39" i="5"/>
  <c r="L22" i="5"/>
  <c r="L57" i="5"/>
  <c r="L40" i="5"/>
  <c r="L23" i="5"/>
  <c r="L58" i="5"/>
  <c r="L60" i="5"/>
  <c r="L17" i="15"/>
  <c r="L18" i="15"/>
  <c r="L19" i="15"/>
  <c r="L20" i="15"/>
  <c r="L21" i="15"/>
  <c r="M25" i="7"/>
  <c r="M26" i="7"/>
  <c r="M5" i="15"/>
  <c r="M9" i="7"/>
  <c r="M10" i="7"/>
  <c r="M6" i="15"/>
  <c r="M13" i="7"/>
  <c r="M14" i="7"/>
  <c r="M7" i="15"/>
  <c r="M22" i="7"/>
  <c r="M8" i="15"/>
  <c r="M5" i="7"/>
  <c r="M6" i="7"/>
  <c r="M9" i="15"/>
  <c r="M17" i="7"/>
  <c r="M18" i="7"/>
  <c r="M10" i="15"/>
  <c r="M11" i="15"/>
  <c r="M12" i="15"/>
  <c r="M13" i="15"/>
  <c r="M6" i="6"/>
  <c r="M7" i="6"/>
  <c r="M8" i="6"/>
  <c r="M9" i="6"/>
  <c r="M10" i="6"/>
  <c r="M14" i="15"/>
  <c r="M6" i="8"/>
  <c r="M7" i="8"/>
  <c r="M15" i="15"/>
  <c r="M6" i="9"/>
  <c r="M9" i="9"/>
  <c r="M10" i="9"/>
  <c r="M12" i="9"/>
  <c r="M13" i="9"/>
  <c r="M15" i="9"/>
  <c r="M16" i="9"/>
  <c r="M17" i="9"/>
  <c r="M16" i="15"/>
  <c r="M43" i="5"/>
  <c r="M26" i="5"/>
  <c r="M9" i="5"/>
  <c r="M44" i="5"/>
  <c r="M45" i="5"/>
  <c r="M28" i="5"/>
  <c r="M11" i="5"/>
  <c r="M46" i="5"/>
  <c r="M29" i="5"/>
  <c r="M12" i="5"/>
  <c r="M47" i="5"/>
  <c r="M30" i="5"/>
  <c r="M13" i="5"/>
  <c r="M48" i="5"/>
  <c r="M31" i="5"/>
  <c r="M14" i="5"/>
  <c r="M49" i="5"/>
  <c r="M50" i="5"/>
  <c r="M33" i="5"/>
  <c r="M16" i="5"/>
  <c r="M51" i="5"/>
  <c r="M34" i="5"/>
  <c r="M52" i="5"/>
  <c r="M35" i="5"/>
  <c r="M53" i="5"/>
  <c r="M36" i="5"/>
  <c r="M19" i="5"/>
  <c r="M54" i="5"/>
  <c r="M55" i="5"/>
  <c r="M38" i="5"/>
  <c r="M21" i="5"/>
  <c r="M56" i="5"/>
  <c r="M39" i="5"/>
  <c r="M22" i="5"/>
  <c r="M57" i="5"/>
  <c r="M40" i="5"/>
  <c r="M23" i="5"/>
  <c r="M58" i="5"/>
  <c r="M60" i="5"/>
  <c r="M17" i="15"/>
  <c r="M18" i="15"/>
  <c r="M19" i="15"/>
  <c r="M20" i="15"/>
  <c r="M21" i="15"/>
  <c r="B42" i="15"/>
  <c r="N25" i="7"/>
  <c r="N26" i="7"/>
  <c r="N5" i="15"/>
  <c r="C28" i="1"/>
  <c r="C29" i="1"/>
  <c r="N9" i="7"/>
  <c r="N10" i="7"/>
  <c r="N6" i="15"/>
  <c r="C62" i="1"/>
  <c r="C63" i="1"/>
  <c r="C36" i="1"/>
  <c r="C37" i="1"/>
  <c r="C38" i="1"/>
  <c r="C39" i="1"/>
  <c r="C66" i="1"/>
  <c r="N13" i="7"/>
  <c r="N14" i="7"/>
  <c r="N7" i="15"/>
  <c r="C46" i="1"/>
  <c r="C47" i="1"/>
  <c r="C48" i="1"/>
  <c r="C30" i="1"/>
  <c r="N21" i="7"/>
  <c r="N22" i="7"/>
  <c r="N8" i="15"/>
  <c r="C57" i="1"/>
  <c r="C56" i="1"/>
  <c r="C64" i="1"/>
  <c r="N5" i="7"/>
  <c r="N6" i="7"/>
  <c r="N9" i="15"/>
  <c r="C58" i="1"/>
  <c r="C60" i="1"/>
  <c r="C65" i="1"/>
  <c r="N17" i="7"/>
  <c r="N18" i="7"/>
  <c r="N10" i="15"/>
  <c r="N11" i="15"/>
  <c r="N12" i="15"/>
  <c r="N13" i="15"/>
  <c r="N6" i="6"/>
  <c r="N7" i="6"/>
  <c r="N9" i="6"/>
  <c r="N10" i="6"/>
  <c r="N14" i="15"/>
  <c r="N6" i="8"/>
  <c r="N7" i="8"/>
  <c r="N15" i="15"/>
  <c r="N6" i="9"/>
  <c r="N12" i="9"/>
  <c r="N13" i="9"/>
  <c r="N15" i="9"/>
  <c r="N16" i="9"/>
  <c r="N17" i="9"/>
  <c r="N16" i="15"/>
  <c r="N29" i="5"/>
  <c r="N12" i="5"/>
  <c r="N47" i="5"/>
  <c r="N30" i="5"/>
  <c r="N13" i="5"/>
  <c r="N48" i="5"/>
  <c r="N31" i="5"/>
  <c r="N14" i="5"/>
  <c r="N49" i="5"/>
  <c r="N32" i="5"/>
  <c r="N50" i="5"/>
  <c r="N33" i="5"/>
  <c r="N16" i="5"/>
  <c r="N51" i="5"/>
  <c r="N34" i="5"/>
  <c r="N52" i="5"/>
  <c r="N35" i="5"/>
  <c r="N53" i="5"/>
  <c r="N36" i="5"/>
  <c r="N19" i="5"/>
  <c r="N54" i="5"/>
  <c r="N37" i="5"/>
  <c r="N55" i="5"/>
  <c r="N39" i="5"/>
  <c r="N22" i="5"/>
  <c r="N57" i="5"/>
  <c r="N40" i="5"/>
  <c r="N58" i="5"/>
  <c r="N43" i="5"/>
  <c r="N26" i="5"/>
  <c r="N9" i="5"/>
  <c r="N44" i="5"/>
  <c r="N45" i="5"/>
  <c r="N28" i="5"/>
  <c r="N11" i="5"/>
  <c r="N46" i="5"/>
  <c r="N38" i="5"/>
  <c r="N21" i="5"/>
  <c r="N56" i="5"/>
  <c r="N60" i="5"/>
  <c r="N17" i="15"/>
  <c r="N18" i="15"/>
  <c r="N19" i="15"/>
  <c r="N20" i="15"/>
  <c r="N21" i="15"/>
  <c r="O25" i="7"/>
  <c r="O26" i="7"/>
  <c r="O5" i="15"/>
  <c r="O9" i="7"/>
  <c r="O10" i="7"/>
  <c r="O6" i="15"/>
  <c r="O13" i="7"/>
  <c r="O14" i="7"/>
  <c r="O7" i="15"/>
  <c r="O21" i="7"/>
  <c r="O22" i="7"/>
  <c r="O8" i="15"/>
  <c r="O5" i="7"/>
  <c r="O6" i="7"/>
  <c r="O9" i="15"/>
  <c r="O17" i="7"/>
  <c r="O18" i="7"/>
  <c r="O10" i="15"/>
  <c r="O11" i="15"/>
  <c r="O12" i="15"/>
  <c r="O13" i="15"/>
  <c r="O6" i="6"/>
  <c r="O7" i="6"/>
  <c r="O8" i="6"/>
  <c r="O9" i="6"/>
  <c r="O10" i="6"/>
  <c r="O14" i="15"/>
  <c r="O6" i="8"/>
  <c r="O7" i="8"/>
  <c r="O15" i="15"/>
  <c r="O6" i="9"/>
  <c r="O9" i="9"/>
  <c r="O10" i="9"/>
  <c r="O12" i="9"/>
  <c r="O13" i="9"/>
  <c r="O15" i="9"/>
  <c r="O16" i="9"/>
  <c r="O17" i="9"/>
  <c r="O16" i="15"/>
  <c r="O29" i="5"/>
  <c r="O12" i="5"/>
  <c r="O47" i="5"/>
  <c r="O30" i="5"/>
  <c r="O13" i="5"/>
  <c r="O48" i="5"/>
  <c r="O31" i="5"/>
  <c r="O14" i="5"/>
  <c r="O49" i="5"/>
  <c r="O32" i="5"/>
  <c r="O50" i="5"/>
  <c r="O33" i="5"/>
  <c r="O16" i="5"/>
  <c r="O51" i="5"/>
  <c r="O34" i="5"/>
  <c r="O52" i="5"/>
  <c r="O35" i="5"/>
  <c r="O53" i="5"/>
  <c r="O36" i="5"/>
  <c r="O19" i="5"/>
  <c r="O54" i="5"/>
  <c r="O37" i="5"/>
  <c r="O55" i="5"/>
  <c r="O39" i="5"/>
  <c r="O22" i="5"/>
  <c r="O57" i="5"/>
  <c r="O40" i="5"/>
  <c r="O58" i="5"/>
  <c r="O43" i="5"/>
  <c r="O26" i="5"/>
  <c r="O9" i="5"/>
  <c r="O44" i="5"/>
  <c r="O45" i="5"/>
  <c r="O28" i="5"/>
  <c r="O11" i="5"/>
  <c r="O46" i="5"/>
  <c r="O38" i="5"/>
  <c r="O21" i="5"/>
  <c r="O56" i="5"/>
  <c r="O60" i="5"/>
  <c r="O17" i="15"/>
  <c r="O18" i="15"/>
  <c r="O19" i="15"/>
  <c r="O20" i="15"/>
  <c r="O21" i="15"/>
  <c r="P25" i="7"/>
  <c r="P26" i="7"/>
  <c r="P5" i="15"/>
  <c r="P9" i="7"/>
  <c r="P10" i="7"/>
  <c r="P6" i="15"/>
  <c r="P13" i="7"/>
  <c r="P14" i="7"/>
  <c r="P7" i="15"/>
  <c r="P21" i="7"/>
  <c r="P22" i="7"/>
  <c r="P8" i="15"/>
  <c r="P5" i="7"/>
  <c r="P6" i="7"/>
  <c r="P9" i="15"/>
  <c r="P17" i="7"/>
  <c r="P18" i="7"/>
  <c r="P10" i="15"/>
  <c r="P11" i="15"/>
  <c r="P12" i="15"/>
  <c r="P13" i="15"/>
  <c r="P6" i="6"/>
  <c r="P7" i="6"/>
  <c r="P8" i="6"/>
  <c r="P9" i="6"/>
  <c r="P10" i="6"/>
  <c r="P14" i="15"/>
  <c r="P6" i="8"/>
  <c r="P7" i="8"/>
  <c r="P15" i="15"/>
  <c r="P6" i="9"/>
  <c r="P9" i="9"/>
  <c r="P10" i="9"/>
  <c r="P12" i="9"/>
  <c r="P13" i="9"/>
  <c r="P15" i="9"/>
  <c r="P16" i="9"/>
  <c r="P17" i="9"/>
  <c r="P16" i="15"/>
  <c r="P29" i="5"/>
  <c r="P12" i="5"/>
  <c r="P47" i="5"/>
  <c r="P30" i="5"/>
  <c r="P13" i="5"/>
  <c r="P48" i="5"/>
  <c r="P31" i="5"/>
  <c r="P14" i="5"/>
  <c r="P49" i="5"/>
  <c r="P32" i="5"/>
  <c r="P50" i="5"/>
  <c r="P33" i="5"/>
  <c r="P16" i="5"/>
  <c r="P51" i="5"/>
  <c r="P34" i="5"/>
  <c r="P52" i="5"/>
  <c r="P35" i="5"/>
  <c r="P53" i="5"/>
  <c r="P36" i="5"/>
  <c r="P19" i="5"/>
  <c r="P54" i="5"/>
  <c r="P37" i="5"/>
  <c r="P55" i="5"/>
  <c r="P39" i="5"/>
  <c r="P22" i="5"/>
  <c r="P57" i="5"/>
  <c r="P40" i="5"/>
  <c r="P23" i="5"/>
  <c r="P58" i="5"/>
  <c r="P43" i="5"/>
  <c r="P26" i="5"/>
  <c r="P9" i="5"/>
  <c r="P44" i="5"/>
  <c r="P45" i="5"/>
  <c r="P28" i="5"/>
  <c r="P11" i="5"/>
  <c r="P46" i="5"/>
  <c r="P38" i="5"/>
  <c r="P21" i="5"/>
  <c r="P56" i="5"/>
  <c r="P60" i="5"/>
  <c r="P17" i="15"/>
  <c r="P18" i="15"/>
  <c r="P19" i="15"/>
  <c r="P20" i="15"/>
  <c r="P21" i="15"/>
  <c r="Q25" i="7"/>
  <c r="Q26" i="7"/>
  <c r="Q5" i="15"/>
  <c r="Q9" i="7"/>
  <c r="Q10" i="7"/>
  <c r="Q6" i="15"/>
  <c r="Q13" i="7"/>
  <c r="Q14" i="7"/>
  <c r="Q7" i="15"/>
  <c r="Q21" i="7"/>
  <c r="Q22" i="7"/>
  <c r="Q8" i="15"/>
  <c r="Q5" i="7"/>
  <c r="Q6" i="7"/>
  <c r="Q9" i="15"/>
  <c r="Q17" i="7"/>
  <c r="Q18" i="7"/>
  <c r="Q10" i="15"/>
  <c r="Q11" i="15"/>
  <c r="Q12" i="15"/>
  <c r="Q13" i="15"/>
  <c r="Q6" i="6"/>
  <c r="Q7" i="6"/>
  <c r="Q8" i="6"/>
  <c r="Q9" i="6"/>
  <c r="Q10" i="6"/>
  <c r="Q14" i="15"/>
  <c r="Q6" i="8"/>
  <c r="Q7" i="8"/>
  <c r="Q15" i="15"/>
  <c r="Q6" i="9"/>
  <c r="Q9" i="9"/>
  <c r="Q10" i="9"/>
  <c r="Q12" i="9"/>
  <c r="Q13" i="9"/>
  <c r="Q15" i="9"/>
  <c r="Q16" i="9"/>
  <c r="Q17" i="9"/>
  <c r="Q16" i="15"/>
  <c r="Q29" i="5"/>
  <c r="Q12" i="5"/>
  <c r="Q47" i="5"/>
  <c r="Q30" i="5"/>
  <c r="Q13" i="5"/>
  <c r="Q48" i="5"/>
  <c r="Q31" i="5"/>
  <c r="Q14" i="5"/>
  <c r="Q49" i="5"/>
  <c r="Q32" i="5"/>
  <c r="Q50" i="5"/>
  <c r="Q33" i="5"/>
  <c r="Q16" i="5"/>
  <c r="Q51" i="5"/>
  <c r="Q34" i="5"/>
  <c r="Q52" i="5"/>
  <c r="Q35" i="5"/>
  <c r="Q53" i="5"/>
  <c r="Q36" i="5"/>
  <c r="Q19" i="5"/>
  <c r="Q54" i="5"/>
  <c r="Q37" i="5"/>
  <c r="Q55" i="5"/>
  <c r="Q39" i="5"/>
  <c r="Q22" i="5"/>
  <c r="Q57" i="5"/>
  <c r="Q40" i="5"/>
  <c r="Q23" i="5"/>
  <c r="Q58" i="5"/>
  <c r="Q43" i="5"/>
  <c r="Q26" i="5"/>
  <c r="Q9" i="5"/>
  <c r="Q44" i="5"/>
  <c r="Q45" i="5"/>
  <c r="Q28" i="5"/>
  <c r="Q11" i="5"/>
  <c r="Q46" i="5"/>
  <c r="Q38" i="5"/>
  <c r="Q21" i="5"/>
  <c r="Q56" i="5"/>
  <c r="Q60" i="5"/>
  <c r="Q17" i="15"/>
  <c r="Q18" i="15"/>
  <c r="Q19" i="15"/>
  <c r="Q20" i="15"/>
  <c r="Q21" i="15"/>
  <c r="R25" i="7"/>
  <c r="R26" i="7"/>
  <c r="R5" i="15"/>
  <c r="R9" i="7"/>
  <c r="R10" i="7"/>
  <c r="R6" i="15"/>
  <c r="R13" i="7"/>
  <c r="R14" i="7"/>
  <c r="R7" i="15"/>
  <c r="R21" i="7"/>
  <c r="R22" i="7"/>
  <c r="R8" i="15"/>
  <c r="R5" i="7"/>
  <c r="R6" i="7"/>
  <c r="R9" i="15"/>
  <c r="R17" i="7"/>
  <c r="R18" i="7"/>
  <c r="R10" i="15"/>
  <c r="R11" i="15"/>
  <c r="R12" i="15"/>
  <c r="R13" i="15"/>
  <c r="R6" i="6"/>
  <c r="R7" i="6"/>
  <c r="R8" i="6"/>
  <c r="R9" i="6"/>
  <c r="R10" i="6"/>
  <c r="R14" i="15"/>
  <c r="R6" i="8"/>
  <c r="R7" i="8"/>
  <c r="R15" i="15"/>
  <c r="R6" i="9"/>
  <c r="R10" i="9"/>
  <c r="R12" i="9"/>
  <c r="R13" i="9"/>
  <c r="R15" i="9"/>
  <c r="R16" i="9"/>
  <c r="R17" i="9"/>
  <c r="R16" i="15"/>
  <c r="R29" i="5"/>
  <c r="R12" i="5"/>
  <c r="R47" i="5"/>
  <c r="R30" i="5"/>
  <c r="R13" i="5"/>
  <c r="R48" i="5"/>
  <c r="R31" i="5"/>
  <c r="R14" i="5"/>
  <c r="R49" i="5"/>
  <c r="R32" i="5"/>
  <c r="R50" i="5"/>
  <c r="R33" i="5"/>
  <c r="R16" i="5"/>
  <c r="R51" i="5"/>
  <c r="R34" i="5"/>
  <c r="R52" i="5"/>
  <c r="R35" i="5"/>
  <c r="R53" i="5"/>
  <c r="R36" i="5"/>
  <c r="R19" i="5"/>
  <c r="R54" i="5"/>
  <c r="R37" i="5"/>
  <c r="R55" i="5"/>
  <c r="R39" i="5"/>
  <c r="R22" i="5"/>
  <c r="R57" i="5"/>
  <c r="R40" i="5"/>
  <c r="R23" i="5"/>
  <c r="R58" i="5"/>
  <c r="R43" i="5"/>
  <c r="R26" i="5"/>
  <c r="R9" i="5"/>
  <c r="R44" i="5"/>
  <c r="R45" i="5"/>
  <c r="R28" i="5"/>
  <c r="R11" i="5"/>
  <c r="R46" i="5"/>
  <c r="R38" i="5"/>
  <c r="R21" i="5"/>
  <c r="R56" i="5"/>
  <c r="R60" i="5"/>
  <c r="R17" i="15"/>
  <c r="R18" i="15"/>
  <c r="R19" i="15"/>
  <c r="R20" i="15"/>
  <c r="R21" i="15"/>
  <c r="S25" i="7"/>
  <c r="S26" i="7"/>
  <c r="S5" i="15"/>
  <c r="S9" i="7"/>
  <c r="S10" i="7"/>
  <c r="S6" i="15"/>
  <c r="S13" i="7"/>
  <c r="S14" i="7"/>
  <c r="S7" i="15"/>
  <c r="S21" i="7"/>
  <c r="S22" i="7"/>
  <c r="S8" i="15"/>
  <c r="S5" i="7"/>
  <c r="S6" i="7"/>
  <c r="S9" i="15"/>
  <c r="S17" i="7"/>
  <c r="S18" i="7"/>
  <c r="S10" i="15"/>
  <c r="S11" i="15"/>
  <c r="S12" i="15"/>
  <c r="S13" i="15"/>
  <c r="S6" i="6"/>
  <c r="S7" i="6"/>
  <c r="S8" i="6"/>
  <c r="S9" i="6"/>
  <c r="S10" i="6"/>
  <c r="S14" i="15"/>
  <c r="S6" i="8"/>
  <c r="S7" i="8"/>
  <c r="S15" i="15"/>
  <c r="S6" i="9"/>
  <c r="S9" i="9"/>
  <c r="S10" i="9"/>
  <c r="S12" i="9"/>
  <c r="S13" i="9"/>
  <c r="S15" i="9"/>
  <c r="S16" i="9"/>
  <c r="S17" i="9"/>
  <c r="S16" i="15"/>
  <c r="S29" i="5"/>
  <c r="S12" i="5"/>
  <c r="S47" i="5"/>
  <c r="S30" i="5"/>
  <c r="S13" i="5"/>
  <c r="S48" i="5"/>
  <c r="S31" i="5"/>
  <c r="S14" i="5"/>
  <c r="S49" i="5"/>
  <c r="S32" i="5"/>
  <c r="S50" i="5"/>
  <c r="S33" i="5"/>
  <c r="S16" i="5"/>
  <c r="S51" i="5"/>
  <c r="S34" i="5"/>
  <c r="S52" i="5"/>
  <c r="S35" i="5"/>
  <c r="S53" i="5"/>
  <c r="S36" i="5"/>
  <c r="S19" i="5"/>
  <c r="S54" i="5"/>
  <c r="S37" i="5"/>
  <c r="S55" i="5"/>
  <c r="S39" i="5"/>
  <c r="S22" i="5"/>
  <c r="S57" i="5"/>
  <c r="S40" i="5"/>
  <c r="S23" i="5"/>
  <c r="S58" i="5"/>
  <c r="S43" i="5"/>
  <c r="S26" i="5"/>
  <c r="S9" i="5"/>
  <c r="S44" i="5"/>
  <c r="S45" i="5"/>
  <c r="S28" i="5"/>
  <c r="S11" i="5"/>
  <c r="S46" i="5"/>
  <c r="S38" i="5"/>
  <c r="S21" i="5"/>
  <c r="S56" i="5"/>
  <c r="S60" i="5"/>
  <c r="S17" i="15"/>
  <c r="S18" i="15"/>
  <c r="S19" i="15"/>
  <c r="S20" i="15"/>
  <c r="S21" i="15"/>
  <c r="T25" i="7"/>
  <c r="T26" i="7"/>
  <c r="T5" i="15"/>
  <c r="T9" i="7"/>
  <c r="T10" i="7"/>
  <c r="T6" i="15"/>
  <c r="T13" i="7"/>
  <c r="T14" i="7"/>
  <c r="T7" i="15"/>
  <c r="T21" i="7"/>
  <c r="T22" i="7"/>
  <c r="T8" i="15"/>
  <c r="T5" i="7"/>
  <c r="T6" i="7"/>
  <c r="T9" i="15"/>
  <c r="T17" i="7"/>
  <c r="T18" i="7"/>
  <c r="T10" i="15"/>
  <c r="T11" i="15"/>
  <c r="T12" i="15"/>
  <c r="T13" i="15"/>
  <c r="T6" i="6"/>
  <c r="T7" i="6"/>
  <c r="T8" i="6"/>
  <c r="T9" i="6"/>
  <c r="T10" i="6"/>
  <c r="T14" i="15"/>
  <c r="T6" i="8"/>
  <c r="T7" i="8"/>
  <c r="T15" i="15"/>
  <c r="T6" i="9"/>
  <c r="T9" i="9"/>
  <c r="T10" i="9"/>
  <c r="T12" i="9"/>
  <c r="T13" i="9"/>
  <c r="T15" i="9"/>
  <c r="T16" i="9"/>
  <c r="T17" i="9"/>
  <c r="T16" i="15"/>
  <c r="T29" i="5"/>
  <c r="T12" i="5"/>
  <c r="T47" i="5"/>
  <c r="T30" i="5"/>
  <c r="T13" i="5"/>
  <c r="T48" i="5"/>
  <c r="T31" i="5"/>
  <c r="T14" i="5"/>
  <c r="T49" i="5"/>
  <c r="T32" i="5"/>
  <c r="T50" i="5"/>
  <c r="T33" i="5"/>
  <c r="T16" i="5"/>
  <c r="T51" i="5"/>
  <c r="T34" i="5"/>
  <c r="T52" i="5"/>
  <c r="T35" i="5"/>
  <c r="T53" i="5"/>
  <c r="T36" i="5"/>
  <c r="T19" i="5"/>
  <c r="T54" i="5"/>
  <c r="T37" i="5"/>
  <c r="T55" i="5"/>
  <c r="T39" i="5"/>
  <c r="T22" i="5"/>
  <c r="T57" i="5"/>
  <c r="T40" i="5"/>
  <c r="T23" i="5"/>
  <c r="T58" i="5"/>
  <c r="T43" i="5"/>
  <c r="T26" i="5"/>
  <c r="T9" i="5"/>
  <c r="T44" i="5"/>
  <c r="T45" i="5"/>
  <c r="T28" i="5"/>
  <c r="T11" i="5"/>
  <c r="T46" i="5"/>
  <c r="T38" i="5"/>
  <c r="T21" i="5"/>
  <c r="T56" i="5"/>
  <c r="T60" i="5"/>
  <c r="T17" i="15"/>
  <c r="T18" i="15"/>
  <c r="T19" i="15"/>
  <c r="T20" i="15"/>
  <c r="T21" i="15"/>
  <c r="U25" i="7"/>
  <c r="U26" i="7"/>
  <c r="U5" i="15"/>
  <c r="U9" i="7"/>
  <c r="U10" i="7"/>
  <c r="U6" i="15"/>
  <c r="U13" i="7"/>
  <c r="U14" i="7"/>
  <c r="U7" i="15"/>
  <c r="U21" i="7"/>
  <c r="U22" i="7"/>
  <c r="U8" i="15"/>
  <c r="U5" i="7"/>
  <c r="U6" i="7"/>
  <c r="U9" i="15"/>
  <c r="U17" i="7"/>
  <c r="U18" i="7"/>
  <c r="U10" i="15"/>
  <c r="U11" i="15"/>
  <c r="U12" i="15"/>
  <c r="U13" i="15"/>
  <c r="U6" i="6"/>
  <c r="U7" i="6"/>
  <c r="U8" i="6"/>
  <c r="U9" i="6"/>
  <c r="U10" i="6"/>
  <c r="U14" i="15"/>
  <c r="U6" i="8"/>
  <c r="U7" i="8"/>
  <c r="U15" i="15"/>
  <c r="U6" i="9"/>
  <c r="U9" i="9"/>
  <c r="U10" i="9"/>
  <c r="U12" i="9"/>
  <c r="U13" i="9"/>
  <c r="U15" i="9"/>
  <c r="U16" i="9"/>
  <c r="U17" i="9"/>
  <c r="U16" i="15"/>
  <c r="U29" i="5"/>
  <c r="U12" i="5"/>
  <c r="U47" i="5"/>
  <c r="U30" i="5"/>
  <c r="U13" i="5"/>
  <c r="U48" i="5"/>
  <c r="U31" i="5"/>
  <c r="U14" i="5"/>
  <c r="U49" i="5"/>
  <c r="U32" i="5"/>
  <c r="U50" i="5"/>
  <c r="U33" i="5"/>
  <c r="U16" i="5"/>
  <c r="U51" i="5"/>
  <c r="U34" i="5"/>
  <c r="U52" i="5"/>
  <c r="U35" i="5"/>
  <c r="U53" i="5"/>
  <c r="U36" i="5"/>
  <c r="U19" i="5"/>
  <c r="U54" i="5"/>
  <c r="U37" i="5"/>
  <c r="U55" i="5"/>
  <c r="U39" i="5"/>
  <c r="U22" i="5"/>
  <c r="U57" i="5"/>
  <c r="U40" i="5"/>
  <c r="U23" i="5"/>
  <c r="U58" i="5"/>
  <c r="U43" i="5"/>
  <c r="U26" i="5"/>
  <c r="U9" i="5"/>
  <c r="U44" i="5"/>
  <c r="U45" i="5"/>
  <c r="U28" i="5"/>
  <c r="U11" i="5"/>
  <c r="U46" i="5"/>
  <c r="U38" i="5"/>
  <c r="U21" i="5"/>
  <c r="U56" i="5"/>
  <c r="U60" i="5"/>
  <c r="U17" i="15"/>
  <c r="U18" i="15"/>
  <c r="U19" i="15"/>
  <c r="U20" i="15"/>
  <c r="U21" i="15"/>
  <c r="V25" i="7"/>
  <c r="V26" i="7"/>
  <c r="V5" i="15"/>
  <c r="V9" i="7"/>
  <c r="V10" i="7"/>
  <c r="V6" i="15"/>
  <c r="V13" i="7"/>
  <c r="V14" i="7"/>
  <c r="V7" i="15"/>
  <c r="V21" i="7"/>
  <c r="V22" i="7"/>
  <c r="V8" i="15"/>
  <c r="V5" i="7"/>
  <c r="V6" i="7"/>
  <c r="V9" i="15"/>
  <c r="V17" i="7"/>
  <c r="V18" i="7"/>
  <c r="V10" i="15"/>
  <c r="V11" i="15"/>
  <c r="V12" i="15"/>
  <c r="V13" i="15"/>
  <c r="V6" i="6"/>
  <c r="V7" i="6"/>
  <c r="V8" i="6"/>
  <c r="V9" i="6"/>
  <c r="V10" i="6"/>
  <c r="V14" i="15"/>
  <c r="V6" i="8"/>
  <c r="V7" i="8"/>
  <c r="V15" i="15"/>
  <c r="V6" i="9"/>
  <c r="V9" i="9"/>
  <c r="V10" i="9"/>
  <c r="V12" i="9"/>
  <c r="V13" i="9"/>
  <c r="V15" i="9"/>
  <c r="V16" i="9"/>
  <c r="V17" i="9"/>
  <c r="V16" i="15"/>
  <c r="V29" i="5"/>
  <c r="V12" i="5"/>
  <c r="V47" i="5"/>
  <c r="V30" i="5"/>
  <c r="V13" i="5"/>
  <c r="V48" i="5"/>
  <c r="V31" i="5"/>
  <c r="V14" i="5"/>
  <c r="V49" i="5"/>
  <c r="V32" i="5"/>
  <c r="V50" i="5"/>
  <c r="V33" i="5"/>
  <c r="V16" i="5"/>
  <c r="V51" i="5"/>
  <c r="V34" i="5"/>
  <c r="V52" i="5"/>
  <c r="V35" i="5"/>
  <c r="V53" i="5"/>
  <c r="V36" i="5"/>
  <c r="V19" i="5"/>
  <c r="V54" i="5"/>
  <c r="V37" i="5"/>
  <c r="V55" i="5"/>
  <c r="V39" i="5"/>
  <c r="V22" i="5"/>
  <c r="V57" i="5"/>
  <c r="V40" i="5"/>
  <c r="V23" i="5"/>
  <c r="V58" i="5"/>
  <c r="V43" i="5"/>
  <c r="V26" i="5"/>
  <c r="V9" i="5"/>
  <c r="V44" i="5"/>
  <c r="V45" i="5"/>
  <c r="V28" i="5"/>
  <c r="V11" i="5"/>
  <c r="V46" i="5"/>
  <c r="V38" i="5"/>
  <c r="V21" i="5"/>
  <c r="V56" i="5"/>
  <c r="V60" i="5"/>
  <c r="V17" i="15"/>
  <c r="V18" i="15"/>
  <c r="V19" i="15"/>
  <c r="V20" i="15"/>
  <c r="V21" i="15"/>
  <c r="W25" i="7"/>
  <c r="W26" i="7"/>
  <c r="W5" i="15"/>
  <c r="W9" i="7"/>
  <c r="W10" i="7"/>
  <c r="W6" i="15"/>
  <c r="W13" i="7"/>
  <c r="W14" i="7"/>
  <c r="W7" i="15"/>
  <c r="W21" i="7"/>
  <c r="W22" i="7"/>
  <c r="W8" i="15"/>
  <c r="W5" i="7"/>
  <c r="W6" i="7"/>
  <c r="W9" i="15"/>
  <c r="W17" i="7"/>
  <c r="W18" i="7"/>
  <c r="W10" i="15"/>
  <c r="W11" i="15"/>
  <c r="W12" i="15"/>
  <c r="W13" i="15"/>
  <c r="W6" i="6"/>
  <c r="W7" i="6"/>
  <c r="W8" i="6"/>
  <c r="W9" i="6"/>
  <c r="W10" i="6"/>
  <c r="W14" i="15"/>
  <c r="W6" i="8"/>
  <c r="W7" i="8"/>
  <c r="W15" i="15"/>
  <c r="W6" i="9"/>
  <c r="W9" i="9"/>
  <c r="W10" i="9"/>
  <c r="W12" i="9"/>
  <c r="W13" i="9"/>
  <c r="W15" i="9"/>
  <c r="W16" i="9"/>
  <c r="W17" i="9"/>
  <c r="W16" i="15"/>
  <c r="W29" i="5"/>
  <c r="W12" i="5"/>
  <c r="W47" i="5"/>
  <c r="W30" i="5"/>
  <c r="W13" i="5"/>
  <c r="W48" i="5"/>
  <c r="W31" i="5"/>
  <c r="W14" i="5"/>
  <c r="W49" i="5"/>
  <c r="W32" i="5"/>
  <c r="W50" i="5"/>
  <c r="W33" i="5"/>
  <c r="W16" i="5"/>
  <c r="W51" i="5"/>
  <c r="W34" i="5"/>
  <c r="W52" i="5"/>
  <c r="W35" i="5"/>
  <c r="W53" i="5"/>
  <c r="W36" i="5"/>
  <c r="W19" i="5"/>
  <c r="W54" i="5"/>
  <c r="W37" i="5"/>
  <c r="W55" i="5"/>
  <c r="W39" i="5"/>
  <c r="W22" i="5"/>
  <c r="W57" i="5"/>
  <c r="W40" i="5"/>
  <c r="W23" i="5"/>
  <c r="W58" i="5"/>
  <c r="W43" i="5"/>
  <c r="W26" i="5"/>
  <c r="W9" i="5"/>
  <c r="W44" i="5"/>
  <c r="W45" i="5"/>
  <c r="W28" i="5"/>
  <c r="W11" i="5"/>
  <c r="W46" i="5"/>
  <c r="W38" i="5"/>
  <c r="W21" i="5"/>
  <c r="W56" i="5"/>
  <c r="W60" i="5"/>
  <c r="W17" i="15"/>
  <c r="W18" i="15"/>
  <c r="W19" i="15"/>
  <c r="W20" i="15"/>
  <c r="W21" i="15"/>
  <c r="X25" i="7"/>
  <c r="X26" i="7"/>
  <c r="X5" i="15"/>
  <c r="X9" i="7"/>
  <c r="X10" i="7"/>
  <c r="X6" i="15"/>
  <c r="X13" i="7"/>
  <c r="X14" i="7"/>
  <c r="X7" i="15"/>
  <c r="X21" i="7"/>
  <c r="X22" i="7"/>
  <c r="X8" i="15"/>
  <c r="X5" i="7"/>
  <c r="X6" i="7"/>
  <c r="X9" i="15"/>
  <c r="X17" i="7"/>
  <c r="X18" i="7"/>
  <c r="X10" i="15"/>
  <c r="X11" i="15"/>
  <c r="X12" i="15"/>
  <c r="X13" i="15"/>
  <c r="X6" i="6"/>
  <c r="X7" i="6"/>
  <c r="X8" i="6"/>
  <c r="X9" i="6"/>
  <c r="X10" i="6"/>
  <c r="X14" i="15"/>
  <c r="X6" i="8"/>
  <c r="X7" i="8"/>
  <c r="X15" i="15"/>
  <c r="X6" i="9"/>
  <c r="X9" i="9"/>
  <c r="X10" i="9"/>
  <c r="X12" i="9"/>
  <c r="X13" i="9"/>
  <c r="X15" i="9"/>
  <c r="X16" i="9"/>
  <c r="X17" i="9"/>
  <c r="X16" i="15"/>
  <c r="X29" i="5"/>
  <c r="X12" i="5"/>
  <c r="X47" i="5"/>
  <c r="X30" i="5"/>
  <c r="X13" i="5"/>
  <c r="X48" i="5"/>
  <c r="X31" i="5"/>
  <c r="X14" i="5"/>
  <c r="X49" i="5"/>
  <c r="X32" i="5"/>
  <c r="X50" i="5"/>
  <c r="X33" i="5"/>
  <c r="X16" i="5"/>
  <c r="X51" i="5"/>
  <c r="X34" i="5"/>
  <c r="X52" i="5"/>
  <c r="X35" i="5"/>
  <c r="X53" i="5"/>
  <c r="X36" i="5"/>
  <c r="X19" i="5"/>
  <c r="X54" i="5"/>
  <c r="X37" i="5"/>
  <c r="X55" i="5"/>
  <c r="X39" i="5"/>
  <c r="X22" i="5"/>
  <c r="X57" i="5"/>
  <c r="X40" i="5"/>
  <c r="X23" i="5"/>
  <c r="X58" i="5"/>
  <c r="X43" i="5"/>
  <c r="X26" i="5"/>
  <c r="X9" i="5"/>
  <c r="X44" i="5"/>
  <c r="X45" i="5"/>
  <c r="X28" i="5"/>
  <c r="X11" i="5"/>
  <c r="X46" i="5"/>
  <c r="X38" i="5"/>
  <c r="X21" i="5"/>
  <c r="X56" i="5"/>
  <c r="X60" i="5"/>
  <c r="X17" i="15"/>
  <c r="X18" i="15"/>
  <c r="X19" i="15"/>
  <c r="X20" i="15"/>
  <c r="X21" i="15"/>
  <c r="Y25" i="7"/>
  <c r="Y26" i="7"/>
  <c r="Y5" i="15"/>
  <c r="Y9" i="7"/>
  <c r="Y10" i="7"/>
  <c r="Y6" i="15"/>
  <c r="Y13" i="7"/>
  <c r="Y14" i="7"/>
  <c r="Y7" i="15"/>
  <c r="Y21" i="7"/>
  <c r="Y22" i="7"/>
  <c r="Y8" i="15"/>
  <c r="Y5" i="7"/>
  <c r="Y6" i="7"/>
  <c r="Y9" i="15"/>
  <c r="Y17" i="7"/>
  <c r="Y18" i="7"/>
  <c r="Y10" i="15"/>
  <c r="Y11" i="15"/>
  <c r="Y12" i="15"/>
  <c r="Y13" i="15"/>
  <c r="Y6" i="6"/>
  <c r="Y7" i="6"/>
  <c r="Y8" i="6"/>
  <c r="Y9" i="6"/>
  <c r="Y10" i="6"/>
  <c r="Y14" i="15"/>
  <c r="Y6" i="8"/>
  <c r="Y7" i="8"/>
  <c r="Y15" i="15"/>
  <c r="Y6" i="9"/>
  <c r="Y9" i="9"/>
  <c r="Y10" i="9"/>
  <c r="Y12" i="9"/>
  <c r="Y13" i="9"/>
  <c r="Y15" i="9"/>
  <c r="Y16" i="9"/>
  <c r="Y17" i="9"/>
  <c r="Y16" i="15"/>
  <c r="Y29" i="5"/>
  <c r="Y12" i="5"/>
  <c r="Y47" i="5"/>
  <c r="Y30" i="5"/>
  <c r="Y13" i="5"/>
  <c r="Y48" i="5"/>
  <c r="Y31" i="5"/>
  <c r="Y14" i="5"/>
  <c r="Y49" i="5"/>
  <c r="Y32" i="5"/>
  <c r="Y50" i="5"/>
  <c r="Y33" i="5"/>
  <c r="Y16" i="5"/>
  <c r="Y51" i="5"/>
  <c r="Y34" i="5"/>
  <c r="Y52" i="5"/>
  <c r="Y35" i="5"/>
  <c r="Y53" i="5"/>
  <c r="Y36" i="5"/>
  <c r="Y19" i="5"/>
  <c r="Y54" i="5"/>
  <c r="Y37" i="5"/>
  <c r="Y55" i="5"/>
  <c r="Y39" i="5"/>
  <c r="Y22" i="5"/>
  <c r="Y57" i="5"/>
  <c r="Y40" i="5"/>
  <c r="Y23" i="5"/>
  <c r="Y58" i="5"/>
  <c r="Y43" i="5"/>
  <c r="Y26" i="5"/>
  <c r="Y9" i="5"/>
  <c r="Y44" i="5"/>
  <c r="Y45" i="5"/>
  <c r="Y28" i="5"/>
  <c r="Y11" i="5"/>
  <c r="Y46" i="5"/>
  <c r="Y38" i="5"/>
  <c r="Y21" i="5"/>
  <c r="Y56" i="5"/>
  <c r="Y60" i="5"/>
  <c r="Y17" i="15"/>
  <c r="Y18" i="15"/>
  <c r="Y19" i="15"/>
  <c r="Y20" i="15"/>
  <c r="Y21" i="15"/>
  <c r="C42" i="15"/>
  <c r="Z25" i="7"/>
  <c r="Z26" i="7"/>
  <c r="Z5" i="15"/>
  <c r="D28" i="1"/>
  <c r="D29" i="1"/>
  <c r="Z9" i="7"/>
  <c r="Z10" i="7"/>
  <c r="Z6" i="15"/>
  <c r="D62" i="1"/>
  <c r="D63" i="1"/>
  <c r="D36" i="1"/>
  <c r="D37" i="1"/>
  <c r="D38" i="1"/>
  <c r="D39" i="1"/>
  <c r="D66" i="1"/>
  <c r="Z13" i="7"/>
  <c r="Z14" i="7"/>
  <c r="Z7" i="15"/>
  <c r="D46" i="1"/>
  <c r="D47" i="1"/>
  <c r="D48" i="1"/>
  <c r="D30" i="1"/>
  <c r="Z21" i="7"/>
  <c r="Z22" i="7"/>
  <c r="Z8" i="15"/>
  <c r="D57" i="1"/>
  <c r="D56" i="1"/>
  <c r="D64" i="1"/>
  <c r="Z5" i="7"/>
  <c r="Z6" i="7"/>
  <c r="Z9" i="15"/>
  <c r="D58" i="1"/>
  <c r="D60" i="1"/>
  <c r="D65" i="1"/>
  <c r="Z17" i="7"/>
  <c r="Z18" i="7"/>
  <c r="Z10" i="15"/>
  <c r="Z11" i="15"/>
  <c r="Z12" i="15"/>
  <c r="Z13" i="15"/>
  <c r="Z6" i="6"/>
  <c r="Z7" i="6"/>
  <c r="Z9" i="6"/>
  <c r="Z10" i="6"/>
  <c r="Z14" i="15"/>
  <c r="Z6" i="8"/>
  <c r="Z7" i="8"/>
  <c r="Z15" i="15"/>
  <c r="Z17" i="9"/>
  <c r="Z16" i="15"/>
  <c r="Z29" i="5"/>
  <c r="Z12" i="5"/>
  <c r="Z47" i="5"/>
  <c r="Z30" i="5"/>
  <c r="Z48" i="5"/>
  <c r="Z31" i="5"/>
  <c r="Z49" i="5"/>
  <c r="Z32" i="5"/>
  <c r="Z50" i="5"/>
  <c r="Z33" i="5"/>
  <c r="Z16" i="5"/>
  <c r="Z51" i="5"/>
  <c r="Z34" i="5"/>
  <c r="Z52" i="5"/>
  <c r="Z35" i="5"/>
  <c r="Z53" i="5"/>
  <c r="Z36" i="5"/>
  <c r="Z54" i="5"/>
  <c r="Z37" i="5"/>
  <c r="Z55" i="5"/>
  <c r="Z39" i="5"/>
  <c r="Z57" i="5"/>
  <c r="Z40" i="5"/>
  <c r="Z58" i="5"/>
  <c r="Z43" i="5"/>
  <c r="Z26" i="5"/>
  <c r="Z9" i="5"/>
  <c r="Z44" i="5"/>
  <c r="Z45" i="5"/>
  <c r="Z11" i="5"/>
  <c r="Z46" i="5"/>
  <c r="Z21" i="5"/>
  <c r="Z56" i="5"/>
  <c r="Z60" i="5"/>
  <c r="Z17" i="15"/>
  <c r="Z18" i="15"/>
  <c r="Z19" i="15"/>
  <c r="Z20" i="15"/>
  <c r="Z21" i="15"/>
  <c r="AA25" i="7"/>
  <c r="AA26" i="7"/>
  <c r="AA5" i="15"/>
  <c r="AA9" i="7"/>
  <c r="AA10" i="7"/>
  <c r="AA6" i="15"/>
  <c r="AA13" i="7"/>
  <c r="AA14" i="7"/>
  <c r="AA7" i="15"/>
  <c r="AA21" i="7"/>
  <c r="AA22" i="7"/>
  <c r="AA8" i="15"/>
  <c r="AA5" i="7"/>
  <c r="AA6" i="7"/>
  <c r="AA9" i="15"/>
  <c r="AA17" i="7"/>
  <c r="AA18" i="7"/>
  <c r="AA10" i="15"/>
  <c r="AA11" i="15"/>
  <c r="AA12" i="15"/>
  <c r="AA13" i="15"/>
  <c r="AA6" i="6"/>
  <c r="AA7" i="6"/>
  <c r="AA9" i="6"/>
  <c r="AA10" i="6"/>
  <c r="AA14" i="15"/>
  <c r="AA6" i="8"/>
  <c r="AA7" i="8"/>
  <c r="AA15" i="15"/>
  <c r="AA6" i="9"/>
  <c r="AA9" i="9"/>
  <c r="AA10" i="9"/>
  <c r="AA12" i="9"/>
  <c r="AA13" i="9"/>
  <c r="AA17" i="9"/>
  <c r="AA16" i="15"/>
  <c r="AA29" i="5"/>
  <c r="AA12" i="5"/>
  <c r="AA47" i="5"/>
  <c r="AA30" i="5"/>
  <c r="AA48" i="5"/>
  <c r="AA31" i="5"/>
  <c r="AA49" i="5"/>
  <c r="AA32" i="5"/>
  <c r="AA50" i="5"/>
  <c r="AA33" i="5"/>
  <c r="AA16" i="5"/>
  <c r="AA51" i="5"/>
  <c r="AA34" i="5"/>
  <c r="AA52" i="5"/>
  <c r="AA35" i="5"/>
  <c r="AA53" i="5"/>
  <c r="AA36" i="5"/>
  <c r="AA54" i="5"/>
  <c r="AA37" i="5"/>
  <c r="AA55" i="5"/>
  <c r="AA39" i="5"/>
  <c r="AA57" i="5"/>
  <c r="AA40" i="5"/>
  <c r="AA58" i="5"/>
  <c r="AA43" i="5"/>
  <c r="AA26" i="5"/>
  <c r="AA9" i="5"/>
  <c r="AA44" i="5"/>
  <c r="AA45" i="5"/>
  <c r="AA28" i="5"/>
  <c r="AA11" i="5"/>
  <c r="AA46" i="5"/>
  <c r="AA38" i="5"/>
  <c r="AA21" i="5"/>
  <c r="AA56" i="5"/>
  <c r="AA60" i="5"/>
  <c r="AA17" i="15"/>
  <c r="AA18" i="15"/>
  <c r="AA19" i="15"/>
  <c r="AA20" i="15"/>
  <c r="AA21" i="15"/>
  <c r="AB25" i="7"/>
  <c r="AB26" i="7"/>
  <c r="AB5" i="15"/>
  <c r="AB9" i="7"/>
  <c r="AB10" i="7"/>
  <c r="AB6" i="15"/>
  <c r="AB13" i="7"/>
  <c r="AB14" i="7"/>
  <c r="AB7" i="15"/>
  <c r="AB21" i="7"/>
  <c r="AB22" i="7"/>
  <c r="AB8" i="15"/>
  <c r="AB5" i="7"/>
  <c r="AB6" i="7"/>
  <c r="AB9" i="15"/>
  <c r="AB17" i="7"/>
  <c r="AB18" i="7"/>
  <c r="AB10" i="15"/>
  <c r="AB11" i="15"/>
  <c r="AB12" i="15"/>
  <c r="AB13" i="15"/>
  <c r="AB6" i="6"/>
  <c r="AB7" i="6"/>
  <c r="AB8" i="6"/>
  <c r="AB9" i="6"/>
  <c r="AB10" i="6"/>
  <c r="AB14" i="15"/>
  <c r="AB6" i="8"/>
  <c r="AB7" i="8"/>
  <c r="AB15" i="15"/>
  <c r="AB6" i="9"/>
  <c r="AB9" i="9"/>
  <c r="AB10" i="9"/>
  <c r="AB12" i="9"/>
  <c r="AB13" i="9"/>
  <c r="AB15" i="9"/>
  <c r="AB16" i="9"/>
  <c r="AB17" i="9"/>
  <c r="AB16" i="15"/>
  <c r="AB29" i="5"/>
  <c r="AB12" i="5"/>
  <c r="AB47" i="5"/>
  <c r="AB30" i="5"/>
  <c r="AB48" i="5"/>
  <c r="AB31" i="5"/>
  <c r="AB49" i="5"/>
  <c r="AB32" i="5"/>
  <c r="AB50" i="5"/>
  <c r="AB33" i="5"/>
  <c r="AB16" i="5"/>
  <c r="AB51" i="5"/>
  <c r="AB34" i="5"/>
  <c r="AB52" i="5"/>
  <c r="AB35" i="5"/>
  <c r="AB53" i="5"/>
  <c r="AB36" i="5"/>
  <c r="AB54" i="5"/>
  <c r="AB37" i="5"/>
  <c r="AB55" i="5"/>
  <c r="AB39" i="5"/>
  <c r="AB57" i="5"/>
  <c r="AB40" i="5"/>
  <c r="AB58" i="5"/>
  <c r="AB43" i="5"/>
  <c r="AB26" i="5"/>
  <c r="AB9" i="5"/>
  <c r="AB44" i="5"/>
  <c r="AB45" i="5"/>
  <c r="AB28" i="5"/>
  <c r="AB11" i="5"/>
  <c r="AB46" i="5"/>
  <c r="AB38" i="5"/>
  <c r="AB21" i="5"/>
  <c r="AB56" i="5"/>
  <c r="AB60" i="5"/>
  <c r="AB17" i="15"/>
  <c r="AB18" i="15"/>
  <c r="AB19" i="15"/>
  <c r="AB20" i="15"/>
  <c r="AB21" i="15"/>
  <c r="AC25" i="7"/>
  <c r="AC26" i="7"/>
  <c r="AC5" i="15"/>
  <c r="AC9" i="7"/>
  <c r="AC10" i="7"/>
  <c r="AC6" i="15"/>
  <c r="AC13" i="7"/>
  <c r="AC14" i="7"/>
  <c r="AC7" i="15"/>
  <c r="AC21" i="7"/>
  <c r="AC22" i="7"/>
  <c r="AC8" i="15"/>
  <c r="AC5" i="7"/>
  <c r="AC6" i="7"/>
  <c r="AC9" i="15"/>
  <c r="AC17" i="7"/>
  <c r="AC18" i="7"/>
  <c r="AC10" i="15"/>
  <c r="AC11" i="15"/>
  <c r="AC12" i="15"/>
  <c r="AC13" i="15"/>
  <c r="AC6" i="6"/>
  <c r="AC7" i="6"/>
  <c r="AC8" i="6"/>
  <c r="AC9" i="6"/>
  <c r="AC10" i="6"/>
  <c r="AC14" i="15"/>
  <c r="AC6" i="8"/>
  <c r="AC7" i="8"/>
  <c r="AC15" i="15"/>
  <c r="AC6" i="9"/>
  <c r="AC9" i="9"/>
  <c r="AC10" i="9"/>
  <c r="AC12" i="9"/>
  <c r="AC13" i="9"/>
  <c r="AC15" i="9"/>
  <c r="AC16" i="9"/>
  <c r="AC17" i="9"/>
  <c r="AC16" i="15"/>
  <c r="AC29" i="5"/>
  <c r="AC12" i="5"/>
  <c r="AC47" i="5"/>
  <c r="AC30" i="5"/>
  <c r="AC48" i="5"/>
  <c r="AC31" i="5"/>
  <c r="AC49" i="5"/>
  <c r="AC32" i="5"/>
  <c r="AC50" i="5"/>
  <c r="AC33" i="5"/>
  <c r="AC16" i="5"/>
  <c r="AC51" i="5"/>
  <c r="AC34" i="5"/>
  <c r="AC52" i="5"/>
  <c r="AC35" i="5"/>
  <c r="AC53" i="5"/>
  <c r="AC36" i="5"/>
  <c r="AC54" i="5"/>
  <c r="AC37" i="5"/>
  <c r="AC55" i="5"/>
  <c r="AC39" i="5"/>
  <c r="AC57" i="5"/>
  <c r="AC40" i="5"/>
  <c r="AC58" i="5"/>
  <c r="AC43" i="5"/>
  <c r="AC26" i="5"/>
  <c r="AC9" i="5"/>
  <c r="AC44" i="5"/>
  <c r="AC45" i="5"/>
  <c r="AC28" i="5"/>
  <c r="AC11" i="5"/>
  <c r="AC46" i="5"/>
  <c r="AC38" i="5"/>
  <c r="AC21" i="5"/>
  <c r="AC56" i="5"/>
  <c r="AC60" i="5"/>
  <c r="AC17" i="15"/>
  <c r="AC18" i="15"/>
  <c r="AC19" i="15"/>
  <c r="AC20" i="15"/>
  <c r="AC21" i="15"/>
  <c r="AD25" i="7"/>
  <c r="AD26" i="7"/>
  <c r="AD5" i="15"/>
  <c r="AD9" i="7"/>
  <c r="AD10" i="7"/>
  <c r="AD6" i="15"/>
  <c r="AD13" i="7"/>
  <c r="AD14" i="7"/>
  <c r="AD7" i="15"/>
  <c r="AD21" i="7"/>
  <c r="AD22" i="7"/>
  <c r="AD8" i="15"/>
  <c r="AD5" i="7"/>
  <c r="AD6" i="7"/>
  <c r="AD9" i="15"/>
  <c r="AD17" i="7"/>
  <c r="AD18" i="7"/>
  <c r="AD10" i="15"/>
  <c r="AD11" i="15"/>
  <c r="AD12" i="15"/>
  <c r="AD13" i="15"/>
  <c r="AD6" i="6"/>
  <c r="AD7" i="6"/>
  <c r="AD8" i="6"/>
  <c r="AD9" i="6"/>
  <c r="AD10" i="6"/>
  <c r="AD14" i="15"/>
  <c r="AD6" i="8"/>
  <c r="AD7" i="8"/>
  <c r="AD15" i="15"/>
  <c r="AD6" i="9"/>
  <c r="AD10" i="9"/>
  <c r="AD12" i="9"/>
  <c r="AD13" i="9"/>
  <c r="AD15" i="9"/>
  <c r="AD16" i="9"/>
  <c r="AD17" i="9"/>
  <c r="AD16" i="15"/>
  <c r="AD29" i="5"/>
  <c r="AD12" i="5"/>
  <c r="AD47" i="5"/>
  <c r="AD30" i="5"/>
  <c r="AD48" i="5"/>
  <c r="AD31" i="5"/>
  <c r="AD49" i="5"/>
  <c r="AD32" i="5"/>
  <c r="AD50" i="5"/>
  <c r="AD33" i="5"/>
  <c r="AD16" i="5"/>
  <c r="AD51" i="5"/>
  <c r="AD34" i="5"/>
  <c r="AD52" i="5"/>
  <c r="AD35" i="5"/>
  <c r="AD53" i="5"/>
  <c r="AD36" i="5"/>
  <c r="AD54" i="5"/>
  <c r="AD37" i="5"/>
  <c r="AD55" i="5"/>
  <c r="AD39" i="5"/>
  <c r="AD57" i="5"/>
  <c r="AD40" i="5"/>
  <c r="AD58" i="5"/>
  <c r="AD43" i="5"/>
  <c r="AD26" i="5"/>
  <c r="AD9" i="5"/>
  <c r="AD44" i="5"/>
  <c r="AD45" i="5"/>
  <c r="AD28" i="5"/>
  <c r="AD11" i="5"/>
  <c r="AD46" i="5"/>
  <c r="AD38" i="5"/>
  <c r="AD21" i="5"/>
  <c r="AD56" i="5"/>
  <c r="AD60" i="5"/>
  <c r="AD17" i="15"/>
  <c r="AD18" i="15"/>
  <c r="AD19" i="15"/>
  <c r="AD20" i="15"/>
  <c r="AD21" i="15"/>
  <c r="AE25" i="7"/>
  <c r="AE26" i="7"/>
  <c r="AE5" i="15"/>
  <c r="AE9" i="7"/>
  <c r="AE10" i="7"/>
  <c r="AE6" i="15"/>
  <c r="AE13" i="7"/>
  <c r="AE14" i="7"/>
  <c r="AE7" i="15"/>
  <c r="AE21" i="7"/>
  <c r="AE22" i="7"/>
  <c r="AE8" i="15"/>
  <c r="AE5" i="7"/>
  <c r="AE6" i="7"/>
  <c r="AE9" i="15"/>
  <c r="AE17" i="7"/>
  <c r="AE18" i="7"/>
  <c r="AE10" i="15"/>
  <c r="AE11" i="15"/>
  <c r="AE12" i="15"/>
  <c r="AE13" i="15"/>
  <c r="AE6" i="6"/>
  <c r="AE7" i="6"/>
  <c r="AE8" i="6"/>
  <c r="AE9" i="6"/>
  <c r="AE10" i="6"/>
  <c r="AE14" i="15"/>
  <c r="AE6" i="8"/>
  <c r="AE7" i="8"/>
  <c r="AE15" i="15"/>
  <c r="AE6" i="9"/>
  <c r="AE9" i="9"/>
  <c r="AE10" i="9"/>
  <c r="AE12" i="9"/>
  <c r="AE13" i="9"/>
  <c r="AE15" i="9"/>
  <c r="AE16" i="9"/>
  <c r="AE17" i="9"/>
  <c r="AE16" i="15"/>
  <c r="AE29" i="5"/>
  <c r="AE12" i="5"/>
  <c r="AE47" i="5"/>
  <c r="AE30" i="5"/>
  <c r="AE48" i="5"/>
  <c r="AE31" i="5"/>
  <c r="AE49" i="5"/>
  <c r="AE32" i="5"/>
  <c r="AE50" i="5"/>
  <c r="AE33" i="5"/>
  <c r="AE16" i="5"/>
  <c r="AE51" i="5"/>
  <c r="AE34" i="5"/>
  <c r="AE52" i="5"/>
  <c r="AE35" i="5"/>
  <c r="AE53" i="5"/>
  <c r="AE36" i="5"/>
  <c r="AE54" i="5"/>
  <c r="AE37" i="5"/>
  <c r="AE55" i="5"/>
  <c r="AE39" i="5"/>
  <c r="AE57" i="5"/>
  <c r="AE40" i="5"/>
  <c r="AE58" i="5"/>
  <c r="AE43" i="5"/>
  <c r="AE26" i="5"/>
  <c r="AE9" i="5"/>
  <c r="AE44" i="5"/>
  <c r="AE45" i="5"/>
  <c r="AE28" i="5"/>
  <c r="AE11" i="5"/>
  <c r="AE46" i="5"/>
  <c r="AE38" i="5"/>
  <c r="AE21" i="5"/>
  <c r="AE56" i="5"/>
  <c r="AE60" i="5"/>
  <c r="AE17" i="15"/>
  <c r="AE18" i="15"/>
  <c r="AE19" i="15"/>
  <c r="AE20" i="15"/>
  <c r="AE21" i="15"/>
  <c r="AF25" i="7"/>
  <c r="AF26" i="7"/>
  <c r="AF5" i="15"/>
  <c r="AF9" i="7"/>
  <c r="AF10" i="7"/>
  <c r="AF6" i="15"/>
  <c r="AF13" i="7"/>
  <c r="AF14" i="7"/>
  <c r="AF7" i="15"/>
  <c r="AF21" i="7"/>
  <c r="AF22" i="7"/>
  <c r="AF8" i="15"/>
  <c r="AF5" i="7"/>
  <c r="AF6" i="7"/>
  <c r="AF9" i="15"/>
  <c r="AF17" i="7"/>
  <c r="AF18" i="7"/>
  <c r="AF10" i="15"/>
  <c r="AF11" i="15"/>
  <c r="AF12" i="15"/>
  <c r="AF13" i="15"/>
  <c r="AF6" i="6"/>
  <c r="AF7" i="6"/>
  <c r="AF8" i="6"/>
  <c r="AF9" i="6"/>
  <c r="AF10" i="6"/>
  <c r="AF14" i="15"/>
  <c r="AF6" i="8"/>
  <c r="AF7" i="8"/>
  <c r="AF15" i="15"/>
  <c r="AF6" i="9"/>
  <c r="AF9" i="9"/>
  <c r="AF10" i="9"/>
  <c r="AF12" i="9"/>
  <c r="AF13" i="9"/>
  <c r="AF15" i="9"/>
  <c r="AF16" i="9"/>
  <c r="AF17" i="9"/>
  <c r="AF16" i="15"/>
  <c r="AF29" i="5"/>
  <c r="AF12" i="5"/>
  <c r="AF47" i="5"/>
  <c r="AF30" i="5"/>
  <c r="AF48" i="5"/>
  <c r="AF31" i="5"/>
  <c r="AF49" i="5"/>
  <c r="AF32" i="5"/>
  <c r="AF50" i="5"/>
  <c r="AF33" i="5"/>
  <c r="AF16" i="5"/>
  <c r="AF51" i="5"/>
  <c r="AF34" i="5"/>
  <c r="AF52" i="5"/>
  <c r="AF35" i="5"/>
  <c r="AF53" i="5"/>
  <c r="AF36" i="5"/>
  <c r="AF54" i="5"/>
  <c r="AF37" i="5"/>
  <c r="AF55" i="5"/>
  <c r="AF39" i="5"/>
  <c r="AF57" i="5"/>
  <c r="AF40" i="5"/>
  <c r="AF58" i="5"/>
  <c r="AF43" i="5"/>
  <c r="AF26" i="5"/>
  <c r="AF9" i="5"/>
  <c r="AF44" i="5"/>
  <c r="AF45" i="5"/>
  <c r="AF28" i="5"/>
  <c r="AF11" i="5"/>
  <c r="AF46" i="5"/>
  <c r="AF38" i="5"/>
  <c r="AF21" i="5"/>
  <c r="AF56" i="5"/>
  <c r="AF60" i="5"/>
  <c r="AF17" i="15"/>
  <c r="AF18" i="15"/>
  <c r="AF19" i="15"/>
  <c r="AF20" i="15"/>
  <c r="AF21" i="15"/>
  <c r="AG25" i="7"/>
  <c r="AG26" i="7"/>
  <c r="AG5" i="15"/>
  <c r="AG9" i="7"/>
  <c r="AG10" i="7"/>
  <c r="AG6" i="15"/>
  <c r="AG13" i="7"/>
  <c r="AG14" i="7"/>
  <c r="AG7" i="15"/>
  <c r="AG21" i="7"/>
  <c r="AG22" i="7"/>
  <c r="AG8" i="15"/>
  <c r="AG5" i="7"/>
  <c r="AG6" i="7"/>
  <c r="AG9" i="15"/>
  <c r="AG17" i="7"/>
  <c r="AG18" i="7"/>
  <c r="AG10" i="15"/>
  <c r="AG11" i="15"/>
  <c r="AG12" i="15"/>
  <c r="AG13" i="15"/>
  <c r="AG6" i="6"/>
  <c r="AG7" i="6"/>
  <c r="AG8" i="6"/>
  <c r="AG9" i="6"/>
  <c r="AG10" i="6"/>
  <c r="AG14" i="15"/>
  <c r="AG6" i="8"/>
  <c r="AG7" i="8"/>
  <c r="AG15" i="15"/>
  <c r="AG6" i="9"/>
  <c r="AG9" i="9"/>
  <c r="AG10" i="9"/>
  <c r="AG12" i="9"/>
  <c r="AG13" i="9"/>
  <c r="AG15" i="9"/>
  <c r="AG16" i="9"/>
  <c r="AG17" i="9"/>
  <c r="AG16" i="15"/>
  <c r="AG29" i="5"/>
  <c r="AG12" i="5"/>
  <c r="AG47" i="5"/>
  <c r="AG30" i="5"/>
  <c r="AG48" i="5"/>
  <c r="AG31" i="5"/>
  <c r="AG49" i="5"/>
  <c r="AG32" i="5"/>
  <c r="AG50" i="5"/>
  <c r="AG33" i="5"/>
  <c r="AG16" i="5"/>
  <c r="AG51" i="5"/>
  <c r="AG34" i="5"/>
  <c r="AG52" i="5"/>
  <c r="AG35" i="5"/>
  <c r="AG53" i="5"/>
  <c r="AG36" i="5"/>
  <c r="AG54" i="5"/>
  <c r="AG37" i="5"/>
  <c r="AG55" i="5"/>
  <c r="AG39" i="5"/>
  <c r="AG57" i="5"/>
  <c r="AG40" i="5"/>
  <c r="AG58" i="5"/>
  <c r="AG43" i="5"/>
  <c r="AG26" i="5"/>
  <c r="AG9" i="5"/>
  <c r="AG44" i="5"/>
  <c r="AG45" i="5"/>
  <c r="AG28" i="5"/>
  <c r="AG11" i="5"/>
  <c r="AG46" i="5"/>
  <c r="AG38" i="5"/>
  <c r="AG21" i="5"/>
  <c r="AG56" i="5"/>
  <c r="AG60" i="5"/>
  <c r="AG17" i="15"/>
  <c r="AG18" i="15"/>
  <c r="AG19" i="15"/>
  <c r="AG20" i="15"/>
  <c r="AG21" i="15"/>
  <c r="AH25" i="7"/>
  <c r="AH26" i="7"/>
  <c r="AH5" i="15"/>
  <c r="AH9" i="7"/>
  <c r="AH10" i="7"/>
  <c r="AH6" i="15"/>
  <c r="AH13" i="7"/>
  <c r="AH14" i="7"/>
  <c r="AH7" i="15"/>
  <c r="AH21" i="7"/>
  <c r="AH22" i="7"/>
  <c r="AH8" i="15"/>
  <c r="AH5" i="7"/>
  <c r="AH6" i="7"/>
  <c r="AH9" i="15"/>
  <c r="AH17" i="7"/>
  <c r="AH18" i="7"/>
  <c r="AH10" i="15"/>
  <c r="AH11" i="15"/>
  <c r="AH12" i="15"/>
  <c r="AH13" i="15"/>
  <c r="AH6" i="6"/>
  <c r="AH7" i="6"/>
  <c r="AH8" i="6"/>
  <c r="AH9" i="6"/>
  <c r="AH10" i="6"/>
  <c r="AH14" i="15"/>
  <c r="AH6" i="8"/>
  <c r="AH7" i="8"/>
  <c r="AH15" i="15"/>
  <c r="AH6" i="9"/>
  <c r="AH9" i="9"/>
  <c r="AH10" i="9"/>
  <c r="AH12" i="9"/>
  <c r="AH13" i="9"/>
  <c r="AH15" i="9"/>
  <c r="AH16" i="9"/>
  <c r="AH17" i="9"/>
  <c r="AH16" i="15"/>
  <c r="AH29" i="5"/>
  <c r="AH12" i="5"/>
  <c r="AH47" i="5"/>
  <c r="AH30" i="5"/>
  <c r="AH48" i="5"/>
  <c r="AH31" i="5"/>
  <c r="AH49" i="5"/>
  <c r="AH32" i="5"/>
  <c r="AH50" i="5"/>
  <c r="AH33" i="5"/>
  <c r="AH16" i="5"/>
  <c r="AH51" i="5"/>
  <c r="AH34" i="5"/>
  <c r="AH52" i="5"/>
  <c r="AH35" i="5"/>
  <c r="AH53" i="5"/>
  <c r="AH36" i="5"/>
  <c r="AH54" i="5"/>
  <c r="AH37" i="5"/>
  <c r="AH55" i="5"/>
  <c r="AH39" i="5"/>
  <c r="AH57" i="5"/>
  <c r="AH40" i="5"/>
  <c r="AH58" i="5"/>
  <c r="AH43" i="5"/>
  <c r="AH26" i="5"/>
  <c r="AH9" i="5"/>
  <c r="AH44" i="5"/>
  <c r="AH45" i="5"/>
  <c r="AH28" i="5"/>
  <c r="AH11" i="5"/>
  <c r="AH46" i="5"/>
  <c r="AH38" i="5"/>
  <c r="AH21" i="5"/>
  <c r="AH56" i="5"/>
  <c r="AH60" i="5"/>
  <c r="AH17" i="15"/>
  <c r="AH18" i="15"/>
  <c r="AH19" i="15"/>
  <c r="AH20" i="15"/>
  <c r="AH21" i="15"/>
  <c r="AI25" i="7"/>
  <c r="AI26" i="7"/>
  <c r="AI5" i="15"/>
  <c r="AI9" i="7"/>
  <c r="AI10" i="7"/>
  <c r="AI6" i="15"/>
  <c r="AI13" i="7"/>
  <c r="AI14" i="7"/>
  <c r="AI7" i="15"/>
  <c r="AI21" i="7"/>
  <c r="AI22" i="7"/>
  <c r="AI8" i="15"/>
  <c r="AI5" i="7"/>
  <c r="AI6" i="7"/>
  <c r="AI9" i="15"/>
  <c r="AI17" i="7"/>
  <c r="AI18" i="7"/>
  <c r="AI10" i="15"/>
  <c r="AI11" i="15"/>
  <c r="AI12" i="15"/>
  <c r="AI13" i="15"/>
  <c r="AI6" i="6"/>
  <c r="AI7" i="6"/>
  <c r="AI8" i="6"/>
  <c r="AI9" i="6"/>
  <c r="AI10" i="6"/>
  <c r="AI14" i="15"/>
  <c r="AI6" i="8"/>
  <c r="AI7" i="8"/>
  <c r="AI15" i="15"/>
  <c r="AI6" i="9"/>
  <c r="AI9" i="9"/>
  <c r="AI10" i="9"/>
  <c r="AI12" i="9"/>
  <c r="AI13" i="9"/>
  <c r="AI15" i="9"/>
  <c r="AI16" i="9"/>
  <c r="AI17" i="9"/>
  <c r="AI16" i="15"/>
  <c r="AI29" i="5"/>
  <c r="AI12" i="5"/>
  <c r="AI47" i="5"/>
  <c r="AI30" i="5"/>
  <c r="AI48" i="5"/>
  <c r="AI31" i="5"/>
  <c r="AI49" i="5"/>
  <c r="AI32" i="5"/>
  <c r="AI50" i="5"/>
  <c r="AI33" i="5"/>
  <c r="AI16" i="5"/>
  <c r="AI51" i="5"/>
  <c r="AI34" i="5"/>
  <c r="AI52" i="5"/>
  <c r="AI35" i="5"/>
  <c r="AI53" i="5"/>
  <c r="AI36" i="5"/>
  <c r="AI54" i="5"/>
  <c r="AI37" i="5"/>
  <c r="AI55" i="5"/>
  <c r="AI39" i="5"/>
  <c r="AI57" i="5"/>
  <c r="AI40" i="5"/>
  <c r="AI58" i="5"/>
  <c r="AI43" i="5"/>
  <c r="AI26" i="5"/>
  <c r="AI9" i="5"/>
  <c r="AI44" i="5"/>
  <c r="AI45" i="5"/>
  <c r="AI28" i="5"/>
  <c r="AI11" i="5"/>
  <c r="AI46" i="5"/>
  <c r="AI38" i="5"/>
  <c r="AI21" i="5"/>
  <c r="AI56" i="5"/>
  <c r="AI60" i="5"/>
  <c r="AI17" i="15"/>
  <c r="AI18" i="15"/>
  <c r="AI19" i="15"/>
  <c r="AI20" i="15"/>
  <c r="AI21" i="15"/>
  <c r="AJ25" i="7"/>
  <c r="AJ26" i="7"/>
  <c r="AJ5" i="15"/>
  <c r="AJ9" i="7"/>
  <c r="AJ10" i="7"/>
  <c r="AJ6" i="15"/>
  <c r="AJ13" i="7"/>
  <c r="AJ14" i="7"/>
  <c r="AJ7" i="15"/>
  <c r="AJ21" i="7"/>
  <c r="AJ22" i="7"/>
  <c r="AJ8" i="15"/>
  <c r="AJ5" i="7"/>
  <c r="AJ6" i="7"/>
  <c r="AJ9" i="15"/>
  <c r="AJ17" i="7"/>
  <c r="AJ18" i="7"/>
  <c r="AJ10" i="15"/>
  <c r="AJ11" i="15"/>
  <c r="AJ12" i="15"/>
  <c r="AJ13" i="15"/>
  <c r="AJ6" i="6"/>
  <c r="AJ7" i="6"/>
  <c r="AJ8" i="6"/>
  <c r="AJ9" i="6"/>
  <c r="AJ10" i="6"/>
  <c r="AJ14" i="15"/>
  <c r="AJ6" i="8"/>
  <c r="AJ7" i="8"/>
  <c r="AJ15" i="15"/>
  <c r="AJ6" i="9"/>
  <c r="AJ9" i="9"/>
  <c r="AJ10" i="9"/>
  <c r="AJ12" i="9"/>
  <c r="AJ13" i="9"/>
  <c r="AJ15" i="9"/>
  <c r="AJ16" i="9"/>
  <c r="AJ17" i="9"/>
  <c r="AJ16" i="15"/>
  <c r="AJ29" i="5"/>
  <c r="AJ12" i="5"/>
  <c r="AJ47" i="5"/>
  <c r="AJ30" i="5"/>
  <c r="AJ48" i="5"/>
  <c r="AJ31" i="5"/>
  <c r="AJ49" i="5"/>
  <c r="AJ32" i="5"/>
  <c r="AJ50" i="5"/>
  <c r="AJ33" i="5"/>
  <c r="AJ16" i="5"/>
  <c r="AJ51" i="5"/>
  <c r="AJ34" i="5"/>
  <c r="AJ52" i="5"/>
  <c r="AJ35" i="5"/>
  <c r="AJ53" i="5"/>
  <c r="AJ36" i="5"/>
  <c r="AJ54" i="5"/>
  <c r="AJ37" i="5"/>
  <c r="AJ55" i="5"/>
  <c r="AJ39" i="5"/>
  <c r="AJ57" i="5"/>
  <c r="AJ40" i="5"/>
  <c r="AJ58" i="5"/>
  <c r="AJ43" i="5"/>
  <c r="AJ26" i="5"/>
  <c r="AJ9" i="5"/>
  <c r="AJ44" i="5"/>
  <c r="AJ45" i="5"/>
  <c r="AJ28" i="5"/>
  <c r="AJ11" i="5"/>
  <c r="AJ46" i="5"/>
  <c r="AJ38" i="5"/>
  <c r="AJ21" i="5"/>
  <c r="AJ56" i="5"/>
  <c r="AJ60" i="5"/>
  <c r="AJ17" i="15"/>
  <c r="AJ18" i="15"/>
  <c r="AJ19" i="15"/>
  <c r="AJ20" i="15"/>
  <c r="AJ21" i="15"/>
  <c r="AK25" i="7"/>
  <c r="AK26" i="7"/>
  <c r="AK5" i="15"/>
  <c r="AK9" i="7"/>
  <c r="AK10" i="7"/>
  <c r="AK6" i="15"/>
  <c r="AK13" i="7"/>
  <c r="AK14" i="7"/>
  <c r="AK7" i="15"/>
  <c r="AK21" i="7"/>
  <c r="AK22" i="7"/>
  <c r="AK8" i="15"/>
  <c r="AK5" i="7"/>
  <c r="AK6" i="7"/>
  <c r="AK9" i="15"/>
  <c r="AK17" i="7"/>
  <c r="AK18" i="7"/>
  <c r="AK10" i="15"/>
  <c r="AK11" i="15"/>
  <c r="AK12" i="15"/>
  <c r="AK13" i="15"/>
  <c r="AK6" i="6"/>
  <c r="AK7" i="6"/>
  <c r="AK8" i="6"/>
  <c r="AK9" i="6"/>
  <c r="AK10" i="6"/>
  <c r="AK14" i="15"/>
  <c r="AK6" i="8"/>
  <c r="AK7" i="8"/>
  <c r="AK15" i="15"/>
  <c r="AK6" i="9"/>
  <c r="AK9" i="9"/>
  <c r="AK10" i="9"/>
  <c r="AK12" i="9"/>
  <c r="AK13" i="9"/>
  <c r="AK15" i="9"/>
  <c r="AK16" i="9"/>
  <c r="AK17" i="9"/>
  <c r="AK16" i="15"/>
  <c r="AK29" i="5"/>
  <c r="AK12" i="5"/>
  <c r="AK47" i="5"/>
  <c r="AK30" i="5"/>
  <c r="AK48" i="5"/>
  <c r="AK31" i="5"/>
  <c r="AK49" i="5"/>
  <c r="AK32" i="5"/>
  <c r="AK50" i="5"/>
  <c r="AK33" i="5"/>
  <c r="AK16" i="5"/>
  <c r="AK51" i="5"/>
  <c r="AK34" i="5"/>
  <c r="AK52" i="5"/>
  <c r="AK35" i="5"/>
  <c r="AK53" i="5"/>
  <c r="AK36" i="5"/>
  <c r="AK54" i="5"/>
  <c r="AK37" i="5"/>
  <c r="AK55" i="5"/>
  <c r="AK39" i="5"/>
  <c r="AK57" i="5"/>
  <c r="AK40" i="5"/>
  <c r="AK58" i="5"/>
  <c r="AK43" i="5"/>
  <c r="AK26" i="5"/>
  <c r="AK9" i="5"/>
  <c r="AK44" i="5"/>
  <c r="AK45" i="5"/>
  <c r="AK28" i="5"/>
  <c r="AK11" i="5"/>
  <c r="AK46" i="5"/>
  <c r="AK38" i="5"/>
  <c r="AK21" i="5"/>
  <c r="AK56" i="5"/>
  <c r="AK60" i="5"/>
  <c r="AK17" i="15"/>
  <c r="AK18" i="15"/>
  <c r="AK19" i="15"/>
  <c r="AK20" i="15"/>
  <c r="AK21" i="15"/>
  <c r="D42" i="15"/>
  <c r="AL25" i="7"/>
  <c r="AL26" i="7"/>
  <c r="AL5" i="15"/>
  <c r="E28" i="1"/>
  <c r="E29" i="1"/>
  <c r="AL9" i="7"/>
  <c r="AL10" i="7"/>
  <c r="AL6" i="15"/>
  <c r="E62" i="1"/>
  <c r="E63" i="1"/>
  <c r="E36" i="1"/>
  <c r="E37" i="1"/>
  <c r="E38" i="1"/>
  <c r="E39" i="1"/>
  <c r="E66" i="1"/>
  <c r="AL13" i="7"/>
  <c r="AL14" i="7"/>
  <c r="AL7" i="15"/>
  <c r="E46" i="1"/>
  <c r="E47" i="1"/>
  <c r="E48" i="1"/>
  <c r="E30" i="1"/>
  <c r="AL21" i="7"/>
  <c r="AL22" i="7"/>
  <c r="AL8" i="15"/>
  <c r="E57" i="1"/>
  <c r="E56" i="1"/>
  <c r="E64" i="1"/>
  <c r="AL5" i="7"/>
  <c r="AL6" i="7"/>
  <c r="AL9" i="15"/>
  <c r="E58" i="1"/>
  <c r="E60" i="1"/>
  <c r="E65" i="1"/>
  <c r="AL17" i="7"/>
  <c r="AL18" i="7"/>
  <c r="AL10" i="15"/>
  <c r="AL11" i="15"/>
  <c r="AL12" i="15"/>
  <c r="AL13" i="15"/>
  <c r="E53" i="1"/>
  <c r="AL6" i="6"/>
  <c r="AL7" i="6"/>
  <c r="AL9" i="6"/>
  <c r="AL10" i="6"/>
  <c r="AL14" i="15"/>
  <c r="AL6" i="8"/>
  <c r="AL7" i="8"/>
  <c r="AL15" i="15"/>
  <c r="AL6" i="9"/>
  <c r="AL10" i="9"/>
  <c r="AL12" i="9"/>
  <c r="AL13" i="9"/>
  <c r="AL17" i="9"/>
  <c r="AL16" i="15"/>
  <c r="AL28" i="5"/>
  <c r="AL11" i="5"/>
  <c r="AL46" i="5"/>
  <c r="AL29" i="5"/>
  <c r="AL12" i="5"/>
  <c r="AL47" i="5"/>
  <c r="AL30" i="5"/>
  <c r="AL48" i="5"/>
  <c r="AL31" i="5"/>
  <c r="AL49" i="5"/>
  <c r="AL32" i="5"/>
  <c r="AL50" i="5"/>
  <c r="AL33" i="5"/>
  <c r="AL16" i="5"/>
  <c r="AL51" i="5"/>
  <c r="AL34" i="5"/>
  <c r="AL52" i="5"/>
  <c r="AL35" i="5"/>
  <c r="AL53" i="5"/>
  <c r="AL36" i="5"/>
  <c r="AL19" i="5"/>
  <c r="AL54" i="5"/>
  <c r="AL37" i="5"/>
  <c r="AL55" i="5"/>
  <c r="AL38" i="5"/>
  <c r="AL21" i="5"/>
  <c r="AL56" i="5"/>
  <c r="AL39" i="5"/>
  <c r="AL57" i="5"/>
  <c r="AL40" i="5"/>
  <c r="AL58" i="5"/>
  <c r="AL43" i="5"/>
  <c r="AL26" i="5"/>
  <c r="AL9" i="5"/>
  <c r="AL44" i="5"/>
  <c r="AL45" i="5"/>
  <c r="AL60" i="5"/>
  <c r="AL17" i="15"/>
  <c r="AL18" i="15"/>
  <c r="AL19" i="15"/>
  <c r="AL20" i="15"/>
  <c r="AL21" i="15"/>
  <c r="AM25" i="7"/>
  <c r="AM26" i="7"/>
  <c r="AM5" i="15"/>
  <c r="AM9" i="7"/>
  <c r="AM10" i="7"/>
  <c r="AM6" i="15"/>
  <c r="AM13" i="7"/>
  <c r="AM14" i="7"/>
  <c r="AM7" i="15"/>
  <c r="AM21" i="7"/>
  <c r="AM22" i="7"/>
  <c r="AM8" i="15"/>
  <c r="AM5" i="7"/>
  <c r="AM6" i="7"/>
  <c r="AM9" i="15"/>
  <c r="AM17" i="7"/>
  <c r="AM18" i="7"/>
  <c r="AM10" i="15"/>
  <c r="AM11" i="15"/>
  <c r="AM12" i="15"/>
  <c r="AM13" i="15"/>
  <c r="AM6" i="6"/>
  <c r="AM7" i="6"/>
  <c r="AM8" i="6"/>
  <c r="AM9" i="6"/>
  <c r="AM10" i="6"/>
  <c r="AM14" i="15"/>
  <c r="AM6" i="8"/>
  <c r="AM7" i="8"/>
  <c r="AM15" i="15"/>
  <c r="AM6" i="9"/>
  <c r="AM9" i="9"/>
  <c r="AM10" i="9"/>
  <c r="AM12" i="9"/>
  <c r="AM13" i="9"/>
  <c r="AM17" i="9"/>
  <c r="AM16" i="15"/>
  <c r="AM28" i="5"/>
  <c r="AM11" i="5"/>
  <c r="AM46" i="5"/>
  <c r="AM29" i="5"/>
  <c r="AM12" i="5"/>
  <c r="AM47" i="5"/>
  <c r="AM30" i="5"/>
  <c r="AM48" i="5"/>
  <c r="AM31" i="5"/>
  <c r="AM49" i="5"/>
  <c r="AM32" i="5"/>
  <c r="AM50" i="5"/>
  <c r="AM33" i="5"/>
  <c r="AM16" i="5"/>
  <c r="AM51" i="5"/>
  <c r="AM34" i="5"/>
  <c r="AM52" i="5"/>
  <c r="AM35" i="5"/>
  <c r="AM53" i="5"/>
  <c r="AM36" i="5"/>
  <c r="AM19" i="5"/>
  <c r="AM54" i="5"/>
  <c r="AM37" i="5"/>
  <c r="AM55" i="5"/>
  <c r="AM38" i="5"/>
  <c r="AM21" i="5"/>
  <c r="AM56" i="5"/>
  <c r="AM39" i="5"/>
  <c r="AM57" i="5"/>
  <c r="AM40" i="5"/>
  <c r="AM58" i="5"/>
  <c r="AM43" i="5"/>
  <c r="AM26" i="5"/>
  <c r="AM9" i="5"/>
  <c r="AM44" i="5"/>
  <c r="AM45" i="5"/>
  <c r="AM60" i="5"/>
  <c r="AM17" i="15"/>
  <c r="AM18" i="15"/>
  <c r="AM19" i="15"/>
  <c r="AM20" i="15"/>
  <c r="AM21" i="15"/>
  <c r="AN25" i="7"/>
  <c r="AN26" i="7"/>
  <c r="AN5" i="15"/>
  <c r="AN9" i="7"/>
  <c r="AN10" i="7"/>
  <c r="AN6" i="15"/>
  <c r="AN13" i="7"/>
  <c r="AN14" i="7"/>
  <c r="AN7" i="15"/>
  <c r="AN21" i="7"/>
  <c r="AN22" i="7"/>
  <c r="AN8" i="15"/>
  <c r="AN5" i="7"/>
  <c r="AN6" i="7"/>
  <c r="AN9" i="15"/>
  <c r="AN17" i="7"/>
  <c r="AN18" i="7"/>
  <c r="AN10" i="15"/>
  <c r="AN11" i="15"/>
  <c r="AN12" i="15"/>
  <c r="AN13" i="15"/>
  <c r="AN6" i="6"/>
  <c r="AN7" i="6"/>
  <c r="AN8" i="6"/>
  <c r="AN9" i="6"/>
  <c r="AN10" i="6"/>
  <c r="AN14" i="15"/>
  <c r="AN6" i="8"/>
  <c r="AN7" i="8"/>
  <c r="AN15" i="15"/>
  <c r="AN6" i="9"/>
  <c r="AN9" i="9"/>
  <c r="AN10" i="9"/>
  <c r="AN12" i="9"/>
  <c r="AN13" i="9"/>
  <c r="AN15" i="9"/>
  <c r="AN16" i="9"/>
  <c r="AN17" i="9"/>
  <c r="AN16" i="15"/>
  <c r="AN28" i="5"/>
  <c r="AN11" i="5"/>
  <c r="AN46" i="5"/>
  <c r="AN29" i="5"/>
  <c r="AN12" i="5"/>
  <c r="AN47" i="5"/>
  <c r="AN30" i="5"/>
  <c r="AN48" i="5"/>
  <c r="AN31" i="5"/>
  <c r="AN49" i="5"/>
  <c r="AN32" i="5"/>
  <c r="AN50" i="5"/>
  <c r="AN33" i="5"/>
  <c r="AN16" i="5"/>
  <c r="AN51" i="5"/>
  <c r="AN34" i="5"/>
  <c r="AN52" i="5"/>
  <c r="AN35" i="5"/>
  <c r="AN53" i="5"/>
  <c r="AN36" i="5"/>
  <c r="AN19" i="5"/>
  <c r="AN54" i="5"/>
  <c r="AN37" i="5"/>
  <c r="AN55" i="5"/>
  <c r="AN38" i="5"/>
  <c r="AN21" i="5"/>
  <c r="AN56" i="5"/>
  <c r="AN39" i="5"/>
  <c r="AN57" i="5"/>
  <c r="AN40" i="5"/>
  <c r="AN58" i="5"/>
  <c r="AN43" i="5"/>
  <c r="AN26" i="5"/>
  <c r="AN9" i="5"/>
  <c r="AN44" i="5"/>
  <c r="AN45" i="5"/>
  <c r="AN60" i="5"/>
  <c r="AN17" i="15"/>
  <c r="AN18" i="15"/>
  <c r="AN19" i="15"/>
  <c r="AN20" i="15"/>
  <c r="AN21" i="15"/>
  <c r="AO25" i="7"/>
  <c r="AO26" i="7"/>
  <c r="AO5" i="15"/>
  <c r="AO9" i="7"/>
  <c r="AO10" i="7"/>
  <c r="AO6" i="15"/>
  <c r="AO13" i="7"/>
  <c r="AO14" i="7"/>
  <c r="AO7" i="15"/>
  <c r="AO21" i="7"/>
  <c r="AO22" i="7"/>
  <c r="AO8" i="15"/>
  <c r="AO5" i="7"/>
  <c r="AO6" i="7"/>
  <c r="AO9" i="15"/>
  <c r="AO17" i="7"/>
  <c r="AO18" i="7"/>
  <c r="AO10" i="15"/>
  <c r="AO11" i="15"/>
  <c r="AO12" i="15"/>
  <c r="AO13" i="15"/>
  <c r="AO6" i="6"/>
  <c r="AO7" i="6"/>
  <c r="AO8" i="6"/>
  <c r="AO9" i="6"/>
  <c r="AO10" i="6"/>
  <c r="AO14" i="15"/>
  <c r="AO6" i="8"/>
  <c r="AO7" i="8"/>
  <c r="AO15" i="15"/>
  <c r="AO6" i="9"/>
  <c r="AO9" i="9"/>
  <c r="AO10" i="9"/>
  <c r="AO12" i="9"/>
  <c r="AO13" i="9"/>
  <c r="AO15" i="9"/>
  <c r="AO16" i="9"/>
  <c r="AO17" i="9"/>
  <c r="AO16" i="15"/>
  <c r="AO28" i="5"/>
  <c r="AO11" i="5"/>
  <c r="AO46" i="5"/>
  <c r="AO29" i="5"/>
  <c r="AO12" i="5"/>
  <c r="AO47" i="5"/>
  <c r="AO30" i="5"/>
  <c r="AO48" i="5"/>
  <c r="AO31" i="5"/>
  <c r="AO49" i="5"/>
  <c r="AO32" i="5"/>
  <c r="AO50" i="5"/>
  <c r="AO33" i="5"/>
  <c r="AO16" i="5"/>
  <c r="AO51" i="5"/>
  <c r="AO34" i="5"/>
  <c r="AO52" i="5"/>
  <c r="AO35" i="5"/>
  <c r="AO53" i="5"/>
  <c r="AO36" i="5"/>
  <c r="AO19" i="5"/>
  <c r="AO54" i="5"/>
  <c r="AO37" i="5"/>
  <c r="AO55" i="5"/>
  <c r="AO38" i="5"/>
  <c r="AO21" i="5"/>
  <c r="AO56" i="5"/>
  <c r="AO39" i="5"/>
  <c r="AO57" i="5"/>
  <c r="AO40" i="5"/>
  <c r="AO58" i="5"/>
  <c r="AO43" i="5"/>
  <c r="AO26" i="5"/>
  <c r="AO9" i="5"/>
  <c r="AO44" i="5"/>
  <c r="AO45" i="5"/>
  <c r="AO60" i="5"/>
  <c r="AO17" i="15"/>
  <c r="AO18" i="15"/>
  <c r="AO19" i="15"/>
  <c r="AO20" i="15"/>
  <c r="AO21" i="15"/>
  <c r="AP25" i="7"/>
  <c r="AP26" i="7"/>
  <c r="AP5" i="15"/>
  <c r="AP9" i="7"/>
  <c r="AP10" i="7"/>
  <c r="AP6" i="15"/>
  <c r="AP13" i="7"/>
  <c r="AP14" i="7"/>
  <c r="AP7" i="15"/>
  <c r="AP21" i="7"/>
  <c r="AP22" i="7"/>
  <c r="AP8" i="15"/>
  <c r="AP5" i="7"/>
  <c r="AP6" i="7"/>
  <c r="AP9" i="15"/>
  <c r="AP17" i="7"/>
  <c r="AP18" i="7"/>
  <c r="AP10" i="15"/>
  <c r="AP11" i="15"/>
  <c r="AP12" i="15"/>
  <c r="AP13" i="15"/>
  <c r="AP6" i="6"/>
  <c r="AP7" i="6"/>
  <c r="AP8" i="6"/>
  <c r="AP9" i="6"/>
  <c r="AP10" i="6"/>
  <c r="AP14" i="15"/>
  <c r="AP6" i="8"/>
  <c r="AP7" i="8"/>
  <c r="AP15" i="15"/>
  <c r="AP6" i="9"/>
  <c r="AP10" i="9"/>
  <c r="AP12" i="9"/>
  <c r="AP13" i="9"/>
  <c r="AP15" i="9"/>
  <c r="AP16" i="9"/>
  <c r="AP17" i="9"/>
  <c r="AP16" i="15"/>
  <c r="AP28" i="5"/>
  <c r="AP11" i="5"/>
  <c r="AP46" i="5"/>
  <c r="AP29" i="5"/>
  <c r="AP12" i="5"/>
  <c r="AP47" i="5"/>
  <c r="AP30" i="5"/>
  <c r="AP48" i="5"/>
  <c r="AP31" i="5"/>
  <c r="AP49" i="5"/>
  <c r="AP32" i="5"/>
  <c r="AP50" i="5"/>
  <c r="AP33" i="5"/>
  <c r="AP16" i="5"/>
  <c r="AP51" i="5"/>
  <c r="AP34" i="5"/>
  <c r="AP52" i="5"/>
  <c r="AP35" i="5"/>
  <c r="AP53" i="5"/>
  <c r="AP36" i="5"/>
  <c r="AP19" i="5"/>
  <c r="AP54" i="5"/>
  <c r="AP37" i="5"/>
  <c r="AP55" i="5"/>
  <c r="AP38" i="5"/>
  <c r="AP21" i="5"/>
  <c r="AP56" i="5"/>
  <c r="AP39" i="5"/>
  <c r="AP57" i="5"/>
  <c r="AP40" i="5"/>
  <c r="AP58" i="5"/>
  <c r="AP43" i="5"/>
  <c r="AP26" i="5"/>
  <c r="AP9" i="5"/>
  <c r="AP44" i="5"/>
  <c r="AP45" i="5"/>
  <c r="AP60" i="5"/>
  <c r="AP17" i="15"/>
  <c r="AP18" i="15"/>
  <c r="AP19" i="15"/>
  <c r="AP20" i="15"/>
  <c r="AP21" i="15"/>
  <c r="AQ25" i="7"/>
  <c r="AQ26" i="7"/>
  <c r="AQ5" i="15"/>
  <c r="AQ9" i="7"/>
  <c r="AQ10" i="7"/>
  <c r="AQ6" i="15"/>
  <c r="AQ13" i="7"/>
  <c r="AQ14" i="7"/>
  <c r="AQ7" i="15"/>
  <c r="AQ21" i="7"/>
  <c r="AQ22" i="7"/>
  <c r="AQ8" i="15"/>
  <c r="AQ5" i="7"/>
  <c r="AQ6" i="7"/>
  <c r="AQ9" i="15"/>
  <c r="AQ17" i="7"/>
  <c r="AQ18" i="7"/>
  <c r="AQ10" i="15"/>
  <c r="AQ11" i="15"/>
  <c r="AQ12" i="15"/>
  <c r="AQ13" i="15"/>
  <c r="AQ6" i="6"/>
  <c r="AQ7" i="6"/>
  <c r="AQ8" i="6"/>
  <c r="AQ9" i="6"/>
  <c r="AQ10" i="6"/>
  <c r="AQ14" i="15"/>
  <c r="AQ6" i="8"/>
  <c r="AQ7" i="8"/>
  <c r="AQ15" i="15"/>
  <c r="AQ6" i="9"/>
  <c r="AQ9" i="9"/>
  <c r="AQ10" i="9"/>
  <c r="AQ12" i="9"/>
  <c r="AQ13" i="9"/>
  <c r="AQ15" i="9"/>
  <c r="AQ16" i="9"/>
  <c r="AQ17" i="9"/>
  <c r="AQ16" i="15"/>
  <c r="AQ28" i="5"/>
  <c r="AQ11" i="5"/>
  <c r="AQ46" i="5"/>
  <c r="AQ29" i="5"/>
  <c r="AQ12" i="5"/>
  <c r="AQ47" i="5"/>
  <c r="AQ30" i="5"/>
  <c r="AQ48" i="5"/>
  <c r="AQ31" i="5"/>
  <c r="AQ49" i="5"/>
  <c r="AQ32" i="5"/>
  <c r="AQ50" i="5"/>
  <c r="AQ33" i="5"/>
  <c r="AQ16" i="5"/>
  <c r="AQ51" i="5"/>
  <c r="AQ34" i="5"/>
  <c r="AQ52" i="5"/>
  <c r="AQ35" i="5"/>
  <c r="AQ53" i="5"/>
  <c r="AQ36" i="5"/>
  <c r="AQ19" i="5"/>
  <c r="AQ54" i="5"/>
  <c r="AQ37" i="5"/>
  <c r="AQ55" i="5"/>
  <c r="AQ38" i="5"/>
  <c r="AQ21" i="5"/>
  <c r="AQ56" i="5"/>
  <c r="AQ39" i="5"/>
  <c r="AQ57" i="5"/>
  <c r="AQ40" i="5"/>
  <c r="AQ58" i="5"/>
  <c r="AQ43" i="5"/>
  <c r="AQ26" i="5"/>
  <c r="AQ9" i="5"/>
  <c r="AQ44" i="5"/>
  <c r="AQ45" i="5"/>
  <c r="AQ60" i="5"/>
  <c r="AQ17" i="15"/>
  <c r="AQ18" i="15"/>
  <c r="AQ19" i="15"/>
  <c r="AQ20" i="15"/>
  <c r="AQ21" i="15"/>
  <c r="AR25" i="7"/>
  <c r="AR26" i="7"/>
  <c r="AR5" i="15"/>
  <c r="AR9" i="7"/>
  <c r="AR10" i="7"/>
  <c r="AR6" i="15"/>
  <c r="AR13" i="7"/>
  <c r="AR14" i="7"/>
  <c r="AR7" i="15"/>
  <c r="AR21" i="7"/>
  <c r="AR22" i="7"/>
  <c r="AR8" i="15"/>
  <c r="AR5" i="7"/>
  <c r="AR6" i="7"/>
  <c r="AR9" i="15"/>
  <c r="AR17" i="7"/>
  <c r="AR18" i="7"/>
  <c r="AR10" i="15"/>
  <c r="AR11" i="15"/>
  <c r="AR12" i="15"/>
  <c r="AR13" i="15"/>
  <c r="AR6" i="6"/>
  <c r="AR7" i="6"/>
  <c r="AR8" i="6"/>
  <c r="AR9" i="6"/>
  <c r="AR10" i="6"/>
  <c r="AR14" i="15"/>
  <c r="AR6" i="8"/>
  <c r="AR7" i="8"/>
  <c r="AR15" i="15"/>
  <c r="AR6" i="9"/>
  <c r="AR9" i="9"/>
  <c r="AR10" i="9"/>
  <c r="AR12" i="9"/>
  <c r="AR13" i="9"/>
  <c r="AR15" i="9"/>
  <c r="AR16" i="9"/>
  <c r="AR17" i="9"/>
  <c r="AR16" i="15"/>
  <c r="AR28" i="5"/>
  <c r="AR11" i="5"/>
  <c r="AR46" i="5"/>
  <c r="AR29" i="5"/>
  <c r="AR12" i="5"/>
  <c r="AR47" i="5"/>
  <c r="AR30" i="5"/>
  <c r="AR48" i="5"/>
  <c r="AR31" i="5"/>
  <c r="AR49" i="5"/>
  <c r="AR32" i="5"/>
  <c r="AR50" i="5"/>
  <c r="AR33" i="5"/>
  <c r="AR16" i="5"/>
  <c r="AR51" i="5"/>
  <c r="AR34" i="5"/>
  <c r="AR52" i="5"/>
  <c r="AR35" i="5"/>
  <c r="AR53" i="5"/>
  <c r="AR36" i="5"/>
  <c r="AR19" i="5"/>
  <c r="AR54" i="5"/>
  <c r="AR37" i="5"/>
  <c r="AR55" i="5"/>
  <c r="AR38" i="5"/>
  <c r="AR21" i="5"/>
  <c r="AR56" i="5"/>
  <c r="AR39" i="5"/>
  <c r="AR57" i="5"/>
  <c r="AR40" i="5"/>
  <c r="AR58" i="5"/>
  <c r="AR43" i="5"/>
  <c r="AR26" i="5"/>
  <c r="AR9" i="5"/>
  <c r="AR44" i="5"/>
  <c r="AR45" i="5"/>
  <c r="AR60" i="5"/>
  <c r="AR17" i="15"/>
  <c r="AR18" i="15"/>
  <c r="AR19" i="15"/>
  <c r="AR20" i="15"/>
  <c r="AR21" i="15"/>
  <c r="AS25" i="7"/>
  <c r="AS26" i="7"/>
  <c r="AS5" i="15"/>
  <c r="AS9" i="7"/>
  <c r="AS10" i="7"/>
  <c r="AS6" i="15"/>
  <c r="AS13" i="7"/>
  <c r="AS14" i="7"/>
  <c r="AS7" i="15"/>
  <c r="AS21" i="7"/>
  <c r="AS22" i="7"/>
  <c r="AS8" i="15"/>
  <c r="AS5" i="7"/>
  <c r="AS6" i="7"/>
  <c r="AS9" i="15"/>
  <c r="AS17" i="7"/>
  <c r="AS18" i="7"/>
  <c r="AS10" i="15"/>
  <c r="AS11" i="15"/>
  <c r="AS12" i="15"/>
  <c r="AS13" i="15"/>
  <c r="AS6" i="6"/>
  <c r="AS7" i="6"/>
  <c r="AS8" i="6"/>
  <c r="AS9" i="6"/>
  <c r="AS10" i="6"/>
  <c r="AS14" i="15"/>
  <c r="AS6" i="8"/>
  <c r="AS7" i="8"/>
  <c r="AS15" i="15"/>
  <c r="AS6" i="9"/>
  <c r="AS9" i="9"/>
  <c r="AS10" i="9"/>
  <c r="AS12" i="9"/>
  <c r="AS13" i="9"/>
  <c r="AS15" i="9"/>
  <c r="AS16" i="9"/>
  <c r="AS17" i="9"/>
  <c r="AS16" i="15"/>
  <c r="AS28" i="5"/>
  <c r="AS11" i="5"/>
  <c r="AS46" i="5"/>
  <c r="AS29" i="5"/>
  <c r="AS12" i="5"/>
  <c r="AS47" i="5"/>
  <c r="AS30" i="5"/>
  <c r="AS48" i="5"/>
  <c r="AS31" i="5"/>
  <c r="AS49" i="5"/>
  <c r="AS32" i="5"/>
  <c r="AS50" i="5"/>
  <c r="AS33" i="5"/>
  <c r="AS16" i="5"/>
  <c r="AS51" i="5"/>
  <c r="AS34" i="5"/>
  <c r="AS52" i="5"/>
  <c r="AS35" i="5"/>
  <c r="AS53" i="5"/>
  <c r="AS36" i="5"/>
  <c r="AS19" i="5"/>
  <c r="AS54" i="5"/>
  <c r="AS37" i="5"/>
  <c r="AS55" i="5"/>
  <c r="AS38" i="5"/>
  <c r="AS21" i="5"/>
  <c r="AS56" i="5"/>
  <c r="AS39" i="5"/>
  <c r="AS57" i="5"/>
  <c r="AS40" i="5"/>
  <c r="AS58" i="5"/>
  <c r="AS43" i="5"/>
  <c r="AS26" i="5"/>
  <c r="AS9" i="5"/>
  <c r="AS44" i="5"/>
  <c r="AS45" i="5"/>
  <c r="AS60" i="5"/>
  <c r="AS17" i="15"/>
  <c r="AS18" i="15"/>
  <c r="AS19" i="15"/>
  <c r="AS20" i="15"/>
  <c r="AS21" i="15"/>
  <c r="AT25" i="7"/>
  <c r="AT26" i="7"/>
  <c r="AT5" i="15"/>
  <c r="AT9" i="7"/>
  <c r="AT10" i="7"/>
  <c r="AT6" i="15"/>
  <c r="AT13" i="7"/>
  <c r="AT14" i="7"/>
  <c r="AT7" i="15"/>
  <c r="AT21" i="7"/>
  <c r="AT22" i="7"/>
  <c r="AT8" i="15"/>
  <c r="AT5" i="7"/>
  <c r="AT6" i="7"/>
  <c r="AT9" i="15"/>
  <c r="AT17" i="7"/>
  <c r="AT18" i="7"/>
  <c r="AT10" i="15"/>
  <c r="AT11" i="15"/>
  <c r="AT12" i="15"/>
  <c r="AT13" i="15"/>
  <c r="AT6" i="6"/>
  <c r="AT7" i="6"/>
  <c r="AT8" i="6"/>
  <c r="AT9" i="6"/>
  <c r="AT10" i="6"/>
  <c r="AT14" i="15"/>
  <c r="AT6" i="8"/>
  <c r="AT7" i="8"/>
  <c r="AT15" i="15"/>
  <c r="AT6" i="9"/>
  <c r="AT9" i="9"/>
  <c r="AT10" i="9"/>
  <c r="AT12" i="9"/>
  <c r="AT13" i="9"/>
  <c r="AT15" i="9"/>
  <c r="AT16" i="9"/>
  <c r="AT17" i="9"/>
  <c r="AT16" i="15"/>
  <c r="AT28" i="5"/>
  <c r="AT11" i="5"/>
  <c r="AT46" i="5"/>
  <c r="AT29" i="5"/>
  <c r="AT12" i="5"/>
  <c r="AT47" i="5"/>
  <c r="AT30" i="5"/>
  <c r="AT48" i="5"/>
  <c r="AT31" i="5"/>
  <c r="AT49" i="5"/>
  <c r="AT32" i="5"/>
  <c r="AT50" i="5"/>
  <c r="AT33" i="5"/>
  <c r="AT16" i="5"/>
  <c r="AT51" i="5"/>
  <c r="AT34" i="5"/>
  <c r="AT52" i="5"/>
  <c r="AT35" i="5"/>
  <c r="AT53" i="5"/>
  <c r="AT36" i="5"/>
  <c r="AT19" i="5"/>
  <c r="AT54" i="5"/>
  <c r="AT37" i="5"/>
  <c r="AT55" i="5"/>
  <c r="AT38" i="5"/>
  <c r="AT21" i="5"/>
  <c r="AT56" i="5"/>
  <c r="AT39" i="5"/>
  <c r="AT57" i="5"/>
  <c r="AT40" i="5"/>
  <c r="AT58" i="5"/>
  <c r="AT43" i="5"/>
  <c r="AT26" i="5"/>
  <c r="AT9" i="5"/>
  <c r="AT44" i="5"/>
  <c r="AT45" i="5"/>
  <c r="AT60" i="5"/>
  <c r="AT17" i="15"/>
  <c r="AT18" i="15"/>
  <c r="AT19" i="15"/>
  <c r="AT20" i="15"/>
  <c r="AT21" i="15"/>
  <c r="AU25" i="7"/>
  <c r="AU26" i="7"/>
  <c r="AU5" i="15"/>
  <c r="AU9" i="7"/>
  <c r="AU10" i="7"/>
  <c r="AU6" i="15"/>
  <c r="AU13" i="7"/>
  <c r="AU14" i="7"/>
  <c r="AU7" i="15"/>
  <c r="AU21" i="7"/>
  <c r="AU22" i="7"/>
  <c r="AU8" i="15"/>
  <c r="AU5" i="7"/>
  <c r="AU6" i="7"/>
  <c r="AU9" i="15"/>
  <c r="AU17" i="7"/>
  <c r="AU18" i="7"/>
  <c r="AU10" i="15"/>
  <c r="AU11" i="15"/>
  <c r="AU12" i="15"/>
  <c r="AU13" i="15"/>
  <c r="AU6" i="6"/>
  <c r="AU7" i="6"/>
  <c r="AU8" i="6"/>
  <c r="AU9" i="6"/>
  <c r="AU10" i="6"/>
  <c r="AU14" i="15"/>
  <c r="AU6" i="8"/>
  <c r="AU7" i="8"/>
  <c r="AU15" i="15"/>
  <c r="AU6" i="9"/>
  <c r="AU9" i="9"/>
  <c r="AU10" i="9"/>
  <c r="AU12" i="9"/>
  <c r="AU13" i="9"/>
  <c r="AU15" i="9"/>
  <c r="AU16" i="9"/>
  <c r="AU17" i="9"/>
  <c r="AU16" i="15"/>
  <c r="AU28" i="5"/>
  <c r="AU11" i="5"/>
  <c r="AU46" i="5"/>
  <c r="AU29" i="5"/>
  <c r="AU12" i="5"/>
  <c r="AU47" i="5"/>
  <c r="AU30" i="5"/>
  <c r="AU48" i="5"/>
  <c r="AU31" i="5"/>
  <c r="AU49" i="5"/>
  <c r="AU32" i="5"/>
  <c r="AU50" i="5"/>
  <c r="AU33" i="5"/>
  <c r="AU16" i="5"/>
  <c r="AU51" i="5"/>
  <c r="AU34" i="5"/>
  <c r="AU52" i="5"/>
  <c r="AU35" i="5"/>
  <c r="AU53" i="5"/>
  <c r="AU36" i="5"/>
  <c r="AU19" i="5"/>
  <c r="AU54" i="5"/>
  <c r="AU37" i="5"/>
  <c r="AU55" i="5"/>
  <c r="AU38" i="5"/>
  <c r="AU21" i="5"/>
  <c r="AU56" i="5"/>
  <c r="AU39" i="5"/>
  <c r="AU57" i="5"/>
  <c r="AU40" i="5"/>
  <c r="AU58" i="5"/>
  <c r="AU43" i="5"/>
  <c r="AU26" i="5"/>
  <c r="AU9" i="5"/>
  <c r="AU44" i="5"/>
  <c r="AU45" i="5"/>
  <c r="AU60" i="5"/>
  <c r="AU17" i="15"/>
  <c r="AU18" i="15"/>
  <c r="AU19" i="15"/>
  <c r="AU20" i="15"/>
  <c r="AU21" i="15"/>
  <c r="AV25" i="7"/>
  <c r="AV26" i="7"/>
  <c r="AV5" i="15"/>
  <c r="AV9" i="7"/>
  <c r="AV10" i="7"/>
  <c r="AV6" i="15"/>
  <c r="AV13" i="7"/>
  <c r="AV14" i="7"/>
  <c r="AV7" i="15"/>
  <c r="AV21" i="7"/>
  <c r="AV22" i="7"/>
  <c r="AV8" i="15"/>
  <c r="AV5" i="7"/>
  <c r="AV6" i="7"/>
  <c r="AV9" i="15"/>
  <c r="AV17" i="7"/>
  <c r="AV18" i="7"/>
  <c r="AV10" i="15"/>
  <c r="AV11" i="15"/>
  <c r="AV12" i="15"/>
  <c r="AV13" i="15"/>
  <c r="AV6" i="6"/>
  <c r="AV7" i="6"/>
  <c r="AV8" i="6"/>
  <c r="AV9" i="6"/>
  <c r="AV10" i="6"/>
  <c r="AV14" i="15"/>
  <c r="AV6" i="8"/>
  <c r="AV7" i="8"/>
  <c r="AV15" i="15"/>
  <c r="AV6" i="9"/>
  <c r="AV9" i="9"/>
  <c r="AV10" i="9"/>
  <c r="AV12" i="9"/>
  <c r="AV13" i="9"/>
  <c r="AV15" i="9"/>
  <c r="AV16" i="9"/>
  <c r="AV17" i="9"/>
  <c r="AV16" i="15"/>
  <c r="AV28" i="5"/>
  <c r="AV11" i="5"/>
  <c r="AV46" i="5"/>
  <c r="AV29" i="5"/>
  <c r="AV12" i="5"/>
  <c r="AV47" i="5"/>
  <c r="AV30" i="5"/>
  <c r="AV48" i="5"/>
  <c r="AV31" i="5"/>
  <c r="AV49" i="5"/>
  <c r="AV32" i="5"/>
  <c r="AV50" i="5"/>
  <c r="AV33" i="5"/>
  <c r="AV16" i="5"/>
  <c r="AV51" i="5"/>
  <c r="AV34" i="5"/>
  <c r="AV52" i="5"/>
  <c r="AV35" i="5"/>
  <c r="AV53" i="5"/>
  <c r="AV36" i="5"/>
  <c r="AV19" i="5"/>
  <c r="AV54" i="5"/>
  <c r="AV37" i="5"/>
  <c r="AV55" i="5"/>
  <c r="AV38" i="5"/>
  <c r="AV21" i="5"/>
  <c r="AV56" i="5"/>
  <c r="AV39" i="5"/>
  <c r="AV57" i="5"/>
  <c r="AV40" i="5"/>
  <c r="AV58" i="5"/>
  <c r="AV43" i="5"/>
  <c r="AV26" i="5"/>
  <c r="AV9" i="5"/>
  <c r="AV44" i="5"/>
  <c r="AV45" i="5"/>
  <c r="AV60" i="5"/>
  <c r="AV17" i="15"/>
  <c r="AV18" i="15"/>
  <c r="AV19" i="15"/>
  <c r="AV20" i="15"/>
  <c r="AV21" i="15"/>
  <c r="AW25" i="7"/>
  <c r="AW26" i="7"/>
  <c r="AW5" i="15"/>
  <c r="AW9" i="7"/>
  <c r="AW10" i="7"/>
  <c r="AW6" i="15"/>
  <c r="AW13" i="7"/>
  <c r="AW14" i="7"/>
  <c r="AW7" i="15"/>
  <c r="AW21" i="7"/>
  <c r="AW22" i="7"/>
  <c r="AW8" i="15"/>
  <c r="AW5" i="7"/>
  <c r="AW6" i="7"/>
  <c r="AW9" i="15"/>
  <c r="AW17" i="7"/>
  <c r="AW18" i="7"/>
  <c r="AW10" i="15"/>
  <c r="AW11" i="15"/>
  <c r="AW12" i="15"/>
  <c r="AW13" i="15"/>
  <c r="AW6" i="6"/>
  <c r="AW7" i="6"/>
  <c r="AW8" i="6"/>
  <c r="AW9" i="6"/>
  <c r="AW10" i="6"/>
  <c r="AW14" i="15"/>
  <c r="AW6" i="8"/>
  <c r="AW7" i="8"/>
  <c r="AW15" i="15"/>
  <c r="AW6" i="9"/>
  <c r="AW9" i="9"/>
  <c r="AW10" i="9"/>
  <c r="AW12" i="9"/>
  <c r="AW13" i="9"/>
  <c r="AW15" i="9"/>
  <c r="AW16" i="9"/>
  <c r="AW17" i="9"/>
  <c r="AW16" i="15"/>
  <c r="AW28" i="5"/>
  <c r="AW11" i="5"/>
  <c r="AW46" i="5"/>
  <c r="AW29" i="5"/>
  <c r="AW12" i="5"/>
  <c r="AW47" i="5"/>
  <c r="AW30" i="5"/>
  <c r="AW48" i="5"/>
  <c r="AW31" i="5"/>
  <c r="AW49" i="5"/>
  <c r="AW32" i="5"/>
  <c r="AW50" i="5"/>
  <c r="AW33" i="5"/>
  <c r="AW16" i="5"/>
  <c r="AW51" i="5"/>
  <c r="AW34" i="5"/>
  <c r="AW52" i="5"/>
  <c r="AW35" i="5"/>
  <c r="AW53" i="5"/>
  <c r="AW36" i="5"/>
  <c r="AW19" i="5"/>
  <c r="AW54" i="5"/>
  <c r="AW37" i="5"/>
  <c r="AW55" i="5"/>
  <c r="AW38" i="5"/>
  <c r="AW21" i="5"/>
  <c r="AW56" i="5"/>
  <c r="AW39" i="5"/>
  <c r="AW57" i="5"/>
  <c r="AW40" i="5"/>
  <c r="AW58" i="5"/>
  <c r="AW43" i="5"/>
  <c r="AW26" i="5"/>
  <c r="AW9" i="5"/>
  <c r="AW44" i="5"/>
  <c r="AW45" i="5"/>
  <c r="AW60" i="5"/>
  <c r="AW17" i="15"/>
  <c r="AW18" i="15"/>
  <c r="AW19" i="15"/>
  <c r="AW20" i="15"/>
  <c r="AW21" i="15"/>
  <c r="E42" i="15"/>
  <c r="AX25" i="7"/>
  <c r="AX26" i="7"/>
  <c r="AX5" i="15"/>
  <c r="F28" i="1"/>
  <c r="F29" i="1"/>
  <c r="AX9" i="7"/>
  <c r="AX10" i="7"/>
  <c r="AX6" i="15"/>
  <c r="F62" i="1"/>
  <c r="F63" i="1"/>
  <c r="F36" i="1"/>
  <c r="F37" i="1"/>
  <c r="F38" i="1"/>
  <c r="F39" i="1"/>
  <c r="F66" i="1"/>
  <c r="AX13" i="7"/>
  <c r="AX14" i="7"/>
  <c r="AX7" i="15"/>
  <c r="F46" i="1"/>
  <c r="F47" i="1"/>
  <c r="F48" i="1"/>
  <c r="F30" i="1"/>
  <c r="AX21" i="7"/>
  <c r="AX22" i="7"/>
  <c r="AX8" i="15"/>
  <c r="F57" i="1"/>
  <c r="F56" i="1"/>
  <c r="F64" i="1"/>
  <c r="AX5" i="7"/>
  <c r="AX6" i="7"/>
  <c r="AX9" i="15"/>
  <c r="F58" i="1"/>
  <c r="F60" i="1"/>
  <c r="F65" i="1"/>
  <c r="AX17" i="7"/>
  <c r="AX18" i="7"/>
  <c r="AX10" i="15"/>
  <c r="AX11" i="15"/>
  <c r="AX12" i="15"/>
  <c r="AX13" i="15"/>
  <c r="F53" i="1"/>
  <c r="AX6" i="6"/>
  <c r="AX7" i="6"/>
  <c r="AX8" i="6"/>
  <c r="AX9" i="6"/>
  <c r="AX10" i="6"/>
  <c r="AX14" i="15"/>
  <c r="AX6" i="8"/>
  <c r="AX7" i="8"/>
  <c r="AX15" i="15"/>
  <c r="AX17" i="9"/>
  <c r="AX16" i="15"/>
  <c r="AX28" i="5"/>
  <c r="AX11" i="5"/>
  <c r="AX46" i="5"/>
  <c r="AX29" i="5"/>
  <c r="AX12" i="5"/>
  <c r="AX47" i="5"/>
  <c r="AX30" i="5"/>
  <c r="AX48" i="5"/>
  <c r="AX31" i="5"/>
  <c r="AX49" i="5"/>
  <c r="AX32" i="5"/>
  <c r="AX50" i="5"/>
  <c r="AX33" i="5"/>
  <c r="AX16" i="5"/>
  <c r="AX51" i="5"/>
  <c r="AX34" i="5"/>
  <c r="AX52" i="5"/>
  <c r="AX35" i="5"/>
  <c r="AX53" i="5"/>
  <c r="AX36" i="5"/>
  <c r="AX19" i="5"/>
  <c r="AX54" i="5"/>
  <c r="AX37" i="5"/>
  <c r="AX55" i="5"/>
  <c r="AX38" i="5"/>
  <c r="AX21" i="5"/>
  <c r="AX56" i="5"/>
  <c r="AX39" i="5"/>
  <c r="AX57" i="5"/>
  <c r="AX40" i="5"/>
  <c r="AX58" i="5"/>
  <c r="AX43" i="5"/>
  <c r="AX26" i="5"/>
  <c r="AX9" i="5"/>
  <c r="AX44" i="5"/>
  <c r="AX45" i="5"/>
  <c r="AX60" i="5"/>
  <c r="AX17" i="15"/>
  <c r="AX18" i="15"/>
  <c r="AX19" i="15"/>
  <c r="AX20" i="15"/>
  <c r="AX21" i="15"/>
  <c r="AY25" i="7"/>
  <c r="AY26" i="7"/>
  <c r="AY5" i="15"/>
  <c r="AY9" i="7"/>
  <c r="AY10" i="7"/>
  <c r="AY6" i="15"/>
  <c r="AY13" i="7"/>
  <c r="AY14" i="7"/>
  <c r="AY7" i="15"/>
  <c r="AY21" i="7"/>
  <c r="AY22" i="7"/>
  <c r="AY8" i="15"/>
  <c r="AY5" i="7"/>
  <c r="AY6" i="7"/>
  <c r="AY9" i="15"/>
  <c r="AY17" i="7"/>
  <c r="AY18" i="7"/>
  <c r="AY10" i="15"/>
  <c r="AY11" i="15"/>
  <c r="AY12" i="15"/>
  <c r="AY13" i="15"/>
  <c r="AY6" i="6"/>
  <c r="AY7" i="6"/>
  <c r="AY8" i="6"/>
  <c r="AY9" i="6"/>
  <c r="AY10" i="6"/>
  <c r="AY14" i="15"/>
  <c r="AY6" i="8"/>
  <c r="AY7" i="8"/>
  <c r="AY15" i="15"/>
  <c r="AY17" i="9"/>
  <c r="AY16" i="15"/>
  <c r="AY28" i="5"/>
  <c r="AY11" i="5"/>
  <c r="AY46" i="5"/>
  <c r="AY29" i="5"/>
  <c r="AY12" i="5"/>
  <c r="AY47" i="5"/>
  <c r="AY30" i="5"/>
  <c r="AY48" i="5"/>
  <c r="AY31" i="5"/>
  <c r="AY49" i="5"/>
  <c r="AY32" i="5"/>
  <c r="AY50" i="5"/>
  <c r="AY33" i="5"/>
  <c r="AY16" i="5"/>
  <c r="AY51" i="5"/>
  <c r="AY34" i="5"/>
  <c r="AY52" i="5"/>
  <c r="AY35" i="5"/>
  <c r="AY53" i="5"/>
  <c r="AY36" i="5"/>
  <c r="AY19" i="5"/>
  <c r="AY54" i="5"/>
  <c r="AY37" i="5"/>
  <c r="AY55" i="5"/>
  <c r="AY38" i="5"/>
  <c r="AY21" i="5"/>
  <c r="AY56" i="5"/>
  <c r="AY39" i="5"/>
  <c r="AY57" i="5"/>
  <c r="AY40" i="5"/>
  <c r="AY58" i="5"/>
  <c r="AY43" i="5"/>
  <c r="AY26" i="5"/>
  <c r="AY9" i="5"/>
  <c r="AY44" i="5"/>
  <c r="AY45" i="5"/>
  <c r="AY60" i="5"/>
  <c r="AY17" i="15"/>
  <c r="AY18" i="15"/>
  <c r="AY19" i="15"/>
  <c r="AY20" i="15"/>
  <c r="AY21" i="15"/>
  <c r="AZ25" i="7"/>
  <c r="AZ26" i="7"/>
  <c r="AZ5" i="15"/>
  <c r="AZ9" i="7"/>
  <c r="AZ10" i="7"/>
  <c r="AZ6" i="15"/>
  <c r="AZ13" i="7"/>
  <c r="AZ14" i="7"/>
  <c r="AZ7" i="15"/>
  <c r="AZ21" i="7"/>
  <c r="AZ22" i="7"/>
  <c r="AZ8" i="15"/>
  <c r="AZ5" i="7"/>
  <c r="AZ6" i="7"/>
  <c r="AZ9" i="15"/>
  <c r="AZ17" i="7"/>
  <c r="AZ18" i="7"/>
  <c r="AZ10" i="15"/>
  <c r="AZ11" i="15"/>
  <c r="AZ12" i="15"/>
  <c r="AZ13" i="15"/>
  <c r="AZ6" i="6"/>
  <c r="AZ7" i="6"/>
  <c r="AZ8" i="6"/>
  <c r="AZ9" i="6"/>
  <c r="AZ10" i="6"/>
  <c r="AZ14" i="15"/>
  <c r="AZ6" i="8"/>
  <c r="AZ7" i="8"/>
  <c r="AZ15" i="15"/>
  <c r="AZ17" i="9"/>
  <c r="AZ16" i="15"/>
  <c r="AZ28" i="5"/>
  <c r="AZ11" i="5"/>
  <c r="AZ46" i="5"/>
  <c r="AZ29" i="5"/>
  <c r="AZ12" i="5"/>
  <c r="AZ47" i="5"/>
  <c r="AZ30" i="5"/>
  <c r="AZ48" i="5"/>
  <c r="AZ31" i="5"/>
  <c r="AZ49" i="5"/>
  <c r="AZ32" i="5"/>
  <c r="AZ50" i="5"/>
  <c r="AZ33" i="5"/>
  <c r="AZ16" i="5"/>
  <c r="AZ51" i="5"/>
  <c r="AZ34" i="5"/>
  <c r="AZ52" i="5"/>
  <c r="AZ35" i="5"/>
  <c r="AZ53" i="5"/>
  <c r="AZ36" i="5"/>
  <c r="AZ19" i="5"/>
  <c r="AZ54" i="5"/>
  <c r="AZ37" i="5"/>
  <c r="AZ55" i="5"/>
  <c r="AZ38" i="5"/>
  <c r="AZ21" i="5"/>
  <c r="AZ56" i="5"/>
  <c r="AZ39" i="5"/>
  <c r="AZ57" i="5"/>
  <c r="AZ40" i="5"/>
  <c r="AZ58" i="5"/>
  <c r="AZ43" i="5"/>
  <c r="AZ26" i="5"/>
  <c r="AZ9" i="5"/>
  <c r="AZ44" i="5"/>
  <c r="AZ45" i="5"/>
  <c r="AZ60" i="5"/>
  <c r="AZ17" i="15"/>
  <c r="AZ18" i="15"/>
  <c r="AZ19" i="15"/>
  <c r="AZ20" i="15"/>
  <c r="AZ21" i="15"/>
  <c r="BA25" i="7"/>
  <c r="BA26" i="7"/>
  <c r="BA5" i="15"/>
  <c r="BA9" i="7"/>
  <c r="BA10" i="7"/>
  <c r="BA6" i="15"/>
  <c r="BA13" i="7"/>
  <c r="BA14" i="7"/>
  <c r="BA7" i="15"/>
  <c r="BA21" i="7"/>
  <c r="BA22" i="7"/>
  <c r="BA8" i="15"/>
  <c r="BA5" i="7"/>
  <c r="BA6" i="7"/>
  <c r="BA9" i="15"/>
  <c r="BA17" i="7"/>
  <c r="BA18" i="7"/>
  <c r="BA10" i="15"/>
  <c r="BA11" i="15"/>
  <c r="BA12" i="15"/>
  <c r="BA13" i="15"/>
  <c r="BA6" i="6"/>
  <c r="BA7" i="6"/>
  <c r="BA8" i="6"/>
  <c r="BA9" i="6"/>
  <c r="BA10" i="6"/>
  <c r="BA14" i="15"/>
  <c r="BA6" i="8"/>
  <c r="BA7" i="8"/>
  <c r="BA15" i="15"/>
  <c r="BA17" i="9"/>
  <c r="BA16" i="15"/>
  <c r="BA28" i="5"/>
  <c r="BA11" i="5"/>
  <c r="BA46" i="5"/>
  <c r="BA29" i="5"/>
  <c r="BA12" i="5"/>
  <c r="BA47" i="5"/>
  <c r="BA30" i="5"/>
  <c r="BA48" i="5"/>
  <c r="BA31" i="5"/>
  <c r="BA49" i="5"/>
  <c r="BA32" i="5"/>
  <c r="BA50" i="5"/>
  <c r="BA33" i="5"/>
  <c r="BA16" i="5"/>
  <c r="BA51" i="5"/>
  <c r="BA34" i="5"/>
  <c r="BA52" i="5"/>
  <c r="BA35" i="5"/>
  <c r="BA53" i="5"/>
  <c r="BA36" i="5"/>
  <c r="BA19" i="5"/>
  <c r="BA54" i="5"/>
  <c r="BA37" i="5"/>
  <c r="BA55" i="5"/>
  <c r="BA38" i="5"/>
  <c r="BA21" i="5"/>
  <c r="BA56" i="5"/>
  <c r="BA39" i="5"/>
  <c r="BA57" i="5"/>
  <c r="BA40" i="5"/>
  <c r="BA58" i="5"/>
  <c r="BA43" i="5"/>
  <c r="BA26" i="5"/>
  <c r="BA9" i="5"/>
  <c r="BA44" i="5"/>
  <c r="BA45" i="5"/>
  <c r="BA60" i="5"/>
  <c r="BA17" i="15"/>
  <c r="BA18" i="15"/>
  <c r="BA19" i="15"/>
  <c r="BA20" i="15"/>
  <c r="BA21" i="15"/>
  <c r="BB25" i="7"/>
  <c r="BB26" i="7"/>
  <c r="BB5" i="15"/>
  <c r="BB9" i="7"/>
  <c r="BB10" i="7"/>
  <c r="BB6" i="15"/>
  <c r="BB13" i="7"/>
  <c r="BB14" i="7"/>
  <c r="BB7" i="15"/>
  <c r="BB21" i="7"/>
  <c r="BB22" i="7"/>
  <c r="BB8" i="15"/>
  <c r="BB5" i="7"/>
  <c r="BB6" i="7"/>
  <c r="BB9" i="15"/>
  <c r="BB17" i="7"/>
  <c r="BB18" i="7"/>
  <c r="BB10" i="15"/>
  <c r="BB11" i="15"/>
  <c r="BB12" i="15"/>
  <c r="BB13" i="15"/>
  <c r="BB6" i="6"/>
  <c r="BB7" i="6"/>
  <c r="BB8" i="6"/>
  <c r="BB9" i="6"/>
  <c r="BB10" i="6"/>
  <c r="BB14" i="15"/>
  <c r="BB6" i="8"/>
  <c r="BB7" i="8"/>
  <c r="BB15" i="15"/>
  <c r="BB17" i="9"/>
  <c r="BB16" i="15"/>
  <c r="BB28" i="5"/>
  <c r="BB11" i="5"/>
  <c r="BB46" i="5"/>
  <c r="BB29" i="5"/>
  <c r="BB12" i="5"/>
  <c r="BB47" i="5"/>
  <c r="BB30" i="5"/>
  <c r="BB48" i="5"/>
  <c r="BB31" i="5"/>
  <c r="BB49" i="5"/>
  <c r="BB32" i="5"/>
  <c r="BB50" i="5"/>
  <c r="BB33" i="5"/>
  <c r="BB16" i="5"/>
  <c r="BB51" i="5"/>
  <c r="BB34" i="5"/>
  <c r="BB52" i="5"/>
  <c r="BB35" i="5"/>
  <c r="BB53" i="5"/>
  <c r="BB36" i="5"/>
  <c r="BB19" i="5"/>
  <c r="BB54" i="5"/>
  <c r="BB37" i="5"/>
  <c r="BB55" i="5"/>
  <c r="BB38" i="5"/>
  <c r="BB21" i="5"/>
  <c r="BB56" i="5"/>
  <c r="BB39" i="5"/>
  <c r="BB57" i="5"/>
  <c r="BB40" i="5"/>
  <c r="BB58" i="5"/>
  <c r="BB43" i="5"/>
  <c r="BB26" i="5"/>
  <c r="BB9" i="5"/>
  <c r="BB44" i="5"/>
  <c r="BB45" i="5"/>
  <c r="BB60" i="5"/>
  <c r="BB17" i="15"/>
  <c r="BB18" i="15"/>
  <c r="BB19" i="15"/>
  <c r="BB20" i="15"/>
  <c r="BB21" i="15"/>
  <c r="BC25" i="7"/>
  <c r="BC26" i="7"/>
  <c r="BC5" i="15"/>
  <c r="BC9" i="7"/>
  <c r="BC10" i="7"/>
  <c r="BC6" i="15"/>
  <c r="BC13" i="7"/>
  <c r="BC14" i="7"/>
  <c r="BC7" i="15"/>
  <c r="BC21" i="7"/>
  <c r="BC22" i="7"/>
  <c r="BC8" i="15"/>
  <c r="BC5" i="7"/>
  <c r="BC6" i="7"/>
  <c r="BC9" i="15"/>
  <c r="BC17" i="7"/>
  <c r="BC18" i="7"/>
  <c r="BC10" i="15"/>
  <c r="BC11" i="15"/>
  <c r="BC12" i="15"/>
  <c r="BC13" i="15"/>
  <c r="BC6" i="6"/>
  <c r="BC7" i="6"/>
  <c r="BC8" i="6"/>
  <c r="BC9" i="6"/>
  <c r="BC10" i="6"/>
  <c r="BC14" i="15"/>
  <c r="BC6" i="8"/>
  <c r="BC7" i="8"/>
  <c r="BC15" i="15"/>
  <c r="BC17" i="9"/>
  <c r="BC16" i="15"/>
  <c r="BC28" i="5"/>
  <c r="BC11" i="5"/>
  <c r="BC46" i="5"/>
  <c r="BC29" i="5"/>
  <c r="BC12" i="5"/>
  <c r="BC47" i="5"/>
  <c r="BC30" i="5"/>
  <c r="BC48" i="5"/>
  <c r="BC31" i="5"/>
  <c r="BC49" i="5"/>
  <c r="BC32" i="5"/>
  <c r="BC50" i="5"/>
  <c r="BC33" i="5"/>
  <c r="BC16" i="5"/>
  <c r="BC51" i="5"/>
  <c r="BC34" i="5"/>
  <c r="BC52" i="5"/>
  <c r="BC35" i="5"/>
  <c r="BC53" i="5"/>
  <c r="BC36" i="5"/>
  <c r="BC19" i="5"/>
  <c r="BC54" i="5"/>
  <c r="BC37" i="5"/>
  <c r="BC55" i="5"/>
  <c r="BC38" i="5"/>
  <c r="BC21" i="5"/>
  <c r="BC56" i="5"/>
  <c r="BC39" i="5"/>
  <c r="BC57" i="5"/>
  <c r="BC40" i="5"/>
  <c r="BC58" i="5"/>
  <c r="BC43" i="5"/>
  <c r="BC26" i="5"/>
  <c r="BC9" i="5"/>
  <c r="BC44" i="5"/>
  <c r="BC45" i="5"/>
  <c r="BC60" i="5"/>
  <c r="BC17" i="15"/>
  <c r="BC18" i="15"/>
  <c r="BC19" i="15"/>
  <c r="BC20" i="15"/>
  <c r="BC21" i="15"/>
  <c r="BD25" i="7"/>
  <c r="BD26" i="7"/>
  <c r="BD5" i="15"/>
  <c r="BD9" i="7"/>
  <c r="BD10" i="7"/>
  <c r="BD6" i="15"/>
  <c r="BD13" i="7"/>
  <c r="BD14" i="7"/>
  <c r="BD7" i="15"/>
  <c r="BD21" i="7"/>
  <c r="BD22" i="7"/>
  <c r="BD8" i="15"/>
  <c r="BD5" i="7"/>
  <c r="BD6" i="7"/>
  <c r="BD9" i="15"/>
  <c r="BD17" i="7"/>
  <c r="BD18" i="7"/>
  <c r="BD10" i="15"/>
  <c r="BD11" i="15"/>
  <c r="BD12" i="15"/>
  <c r="BD13" i="15"/>
  <c r="BD6" i="6"/>
  <c r="BD7" i="6"/>
  <c r="BD8" i="6"/>
  <c r="BD9" i="6"/>
  <c r="BD10" i="6"/>
  <c r="BD14" i="15"/>
  <c r="BD6" i="8"/>
  <c r="BD7" i="8"/>
  <c r="BD15" i="15"/>
  <c r="BD17" i="9"/>
  <c r="BD16" i="15"/>
  <c r="BD28" i="5"/>
  <c r="BD11" i="5"/>
  <c r="BD46" i="5"/>
  <c r="BD29" i="5"/>
  <c r="BD12" i="5"/>
  <c r="BD47" i="5"/>
  <c r="BD30" i="5"/>
  <c r="BD48" i="5"/>
  <c r="BD31" i="5"/>
  <c r="BD49" i="5"/>
  <c r="BD32" i="5"/>
  <c r="BD50" i="5"/>
  <c r="BD33" i="5"/>
  <c r="BD16" i="5"/>
  <c r="BD51" i="5"/>
  <c r="BD34" i="5"/>
  <c r="BD52" i="5"/>
  <c r="BD35" i="5"/>
  <c r="BD53" i="5"/>
  <c r="BD36" i="5"/>
  <c r="BD19" i="5"/>
  <c r="BD54" i="5"/>
  <c r="BD37" i="5"/>
  <c r="BD55" i="5"/>
  <c r="BD38" i="5"/>
  <c r="BD21" i="5"/>
  <c r="BD56" i="5"/>
  <c r="BD39" i="5"/>
  <c r="BD57" i="5"/>
  <c r="BD40" i="5"/>
  <c r="BD58" i="5"/>
  <c r="BD43" i="5"/>
  <c r="BD26" i="5"/>
  <c r="BD9" i="5"/>
  <c r="BD44" i="5"/>
  <c r="BD45" i="5"/>
  <c r="BD60" i="5"/>
  <c r="BD17" i="15"/>
  <c r="BD18" i="15"/>
  <c r="BD19" i="15"/>
  <c r="BD20" i="15"/>
  <c r="BD21" i="15"/>
  <c r="BE25" i="7"/>
  <c r="BE26" i="7"/>
  <c r="BE5" i="15"/>
  <c r="BE9" i="7"/>
  <c r="BE10" i="7"/>
  <c r="BE6" i="15"/>
  <c r="BE13" i="7"/>
  <c r="BE14" i="7"/>
  <c r="BE7" i="15"/>
  <c r="BE21" i="7"/>
  <c r="BE22" i="7"/>
  <c r="BE8" i="15"/>
  <c r="BE5" i="7"/>
  <c r="BE6" i="7"/>
  <c r="BE9" i="15"/>
  <c r="BE17" i="7"/>
  <c r="BE18" i="7"/>
  <c r="BE10" i="15"/>
  <c r="BE11" i="15"/>
  <c r="BE12" i="15"/>
  <c r="BE13" i="15"/>
  <c r="BE6" i="6"/>
  <c r="BE7" i="6"/>
  <c r="BE8" i="6"/>
  <c r="BE9" i="6"/>
  <c r="BE10" i="6"/>
  <c r="BE14" i="15"/>
  <c r="BE6" i="8"/>
  <c r="BE7" i="8"/>
  <c r="BE15" i="15"/>
  <c r="BE17" i="9"/>
  <c r="BE16" i="15"/>
  <c r="BE28" i="5"/>
  <c r="BE11" i="5"/>
  <c r="BE46" i="5"/>
  <c r="BE29" i="5"/>
  <c r="BE12" i="5"/>
  <c r="BE47" i="5"/>
  <c r="BE30" i="5"/>
  <c r="BE48" i="5"/>
  <c r="BE31" i="5"/>
  <c r="BE49" i="5"/>
  <c r="BE32" i="5"/>
  <c r="BE50" i="5"/>
  <c r="BE33" i="5"/>
  <c r="BE16" i="5"/>
  <c r="BE51" i="5"/>
  <c r="BE34" i="5"/>
  <c r="BE52" i="5"/>
  <c r="BE35" i="5"/>
  <c r="BE53" i="5"/>
  <c r="BE36" i="5"/>
  <c r="BE19" i="5"/>
  <c r="BE54" i="5"/>
  <c r="BE37" i="5"/>
  <c r="BE55" i="5"/>
  <c r="BE38" i="5"/>
  <c r="BE21" i="5"/>
  <c r="BE56" i="5"/>
  <c r="BE39" i="5"/>
  <c r="BE57" i="5"/>
  <c r="BE40" i="5"/>
  <c r="BE58" i="5"/>
  <c r="BE43" i="5"/>
  <c r="BE26" i="5"/>
  <c r="BE9" i="5"/>
  <c r="BE44" i="5"/>
  <c r="BE45" i="5"/>
  <c r="BE60" i="5"/>
  <c r="BE17" i="15"/>
  <c r="BE18" i="15"/>
  <c r="BE19" i="15"/>
  <c r="BE20" i="15"/>
  <c r="BE21" i="15"/>
  <c r="BF25" i="7"/>
  <c r="BF26" i="7"/>
  <c r="BF5" i="15"/>
  <c r="BF9" i="7"/>
  <c r="BF10" i="7"/>
  <c r="BF6" i="15"/>
  <c r="BF13" i="7"/>
  <c r="BF14" i="7"/>
  <c r="BF7" i="15"/>
  <c r="BF21" i="7"/>
  <c r="BF22" i="7"/>
  <c r="BF8" i="15"/>
  <c r="BF5" i="7"/>
  <c r="BF6" i="7"/>
  <c r="BF9" i="15"/>
  <c r="BF17" i="7"/>
  <c r="BF18" i="7"/>
  <c r="BF10" i="15"/>
  <c r="BF11" i="15"/>
  <c r="BF12" i="15"/>
  <c r="BF13" i="15"/>
  <c r="BF6" i="6"/>
  <c r="BF7" i="6"/>
  <c r="BF8" i="6"/>
  <c r="BF9" i="6"/>
  <c r="BF10" i="6"/>
  <c r="BF14" i="15"/>
  <c r="BF6" i="8"/>
  <c r="BF7" i="8"/>
  <c r="BF15" i="15"/>
  <c r="BF17" i="9"/>
  <c r="BF16" i="15"/>
  <c r="BF28" i="5"/>
  <c r="BF11" i="5"/>
  <c r="BF46" i="5"/>
  <c r="BF29" i="5"/>
  <c r="BF12" i="5"/>
  <c r="BF47" i="5"/>
  <c r="BF30" i="5"/>
  <c r="BF48" i="5"/>
  <c r="BF31" i="5"/>
  <c r="BF49" i="5"/>
  <c r="BF32" i="5"/>
  <c r="BF50" i="5"/>
  <c r="BF33" i="5"/>
  <c r="BF16" i="5"/>
  <c r="BF51" i="5"/>
  <c r="BF34" i="5"/>
  <c r="BF52" i="5"/>
  <c r="BF35" i="5"/>
  <c r="BF53" i="5"/>
  <c r="BF36" i="5"/>
  <c r="BF19" i="5"/>
  <c r="BF54" i="5"/>
  <c r="BF37" i="5"/>
  <c r="BF55" i="5"/>
  <c r="BF38" i="5"/>
  <c r="BF21" i="5"/>
  <c r="BF56" i="5"/>
  <c r="BF39" i="5"/>
  <c r="BF57" i="5"/>
  <c r="BF40" i="5"/>
  <c r="BF58" i="5"/>
  <c r="BF43" i="5"/>
  <c r="BF26" i="5"/>
  <c r="BF9" i="5"/>
  <c r="BF44" i="5"/>
  <c r="BF45" i="5"/>
  <c r="BF60" i="5"/>
  <c r="BF17" i="15"/>
  <c r="BF18" i="15"/>
  <c r="BF19" i="15"/>
  <c r="BF20" i="15"/>
  <c r="BF21" i="15"/>
  <c r="BG25" i="7"/>
  <c r="BG26" i="7"/>
  <c r="BG5" i="15"/>
  <c r="BG9" i="7"/>
  <c r="BG10" i="7"/>
  <c r="BG6" i="15"/>
  <c r="BG13" i="7"/>
  <c r="BG14" i="7"/>
  <c r="BG7" i="15"/>
  <c r="BG21" i="7"/>
  <c r="BG22" i="7"/>
  <c r="BG8" i="15"/>
  <c r="BG5" i="7"/>
  <c r="BG6" i="7"/>
  <c r="BG9" i="15"/>
  <c r="BG17" i="7"/>
  <c r="BG18" i="7"/>
  <c r="BG10" i="15"/>
  <c r="BG11" i="15"/>
  <c r="BG12" i="15"/>
  <c r="BG13" i="15"/>
  <c r="BG6" i="6"/>
  <c r="BG7" i="6"/>
  <c r="BG8" i="6"/>
  <c r="BG9" i="6"/>
  <c r="BG10" i="6"/>
  <c r="BG14" i="15"/>
  <c r="BG6" i="8"/>
  <c r="BG7" i="8"/>
  <c r="BG15" i="15"/>
  <c r="BG17" i="9"/>
  <c r="BG16" i="15"/>
  <c r="BG28" i="5"/>
  <c r="BG11" i="5"/>
  <c r="BG46" i="5"/>
  <c r="BG29" i="5"/>
  <c r="BG12" i="5"/>
  <c r="BG47" i="5"/>
  <c r="BG30" i="5"/>
  <c r="BG48" i="5"/>
  <c r="BG31" i="5"/>
  <c r="BG49" i="5"/>
  <c r="BG32" i="5"/>
  <c r="BG50" i="5"/>
  <c r="BG33" i="5"/>
  <c r="BG16" i="5"/>
  <c r="BG51" i="5"/>
  <c r="BG34" i="5"/>
  <c r="BG52" i="5"/>
  <c r="BG35" i="5"/>
  <c r="BG53" i="5"/>
  <c r="BG36" i="5"/>
  <c r="BG19" i="5"/>
  <c r="BG54" i="5"/>
  <c r="BG37" i="5"/>
  <c r="BG55" i="5"/>
  <c r="BG38" i="5"/>
  <c r="BG21" i="5"/>
  <c r="BG56" i="5"/>
  <c r="BG39" i="5"/>
  <c r="BG57" i="5"/>
  <c r="BG40" i="5"/>
  <c r="BG58" i="5"/>
  <c r="BG43" i="5"/>
  <c r="BG26" i="5"/>
  <c r="BG9" i="5"/>
  <c r="BG44" i="5"/>
  <c r="BG45" i="5"/>
  <c r="BG60" i="5"/>
  <c r="BG17" i="15"/>
  <c r="BG18" i="15"/>
  <c r="BG19" i="15"/>
  <c r="BG20" i="15"/>
  <c r="BG21" i="15"/>
  <c r="BH25" i="7"/>
  <c r="BH26" i="7"/>
  <c r="BH5" i="15"/>
  <c r="BH9" i="7"/>
  <c r="BH10" i="7"/>
  <c r="BH6" i="15"/>
  <c r="BH13" i="7"/>
  <c r="BH14" i="7"/>
  <c r="BH7" i="15"/>
  <c r="BH21" i="7"/>
  <c r="BH22" i="7"/>
  <c r="BH8" i="15"/>
  <c r="BH5" i="7"/>
  <c r="BH6" i="7"/>
  <c r="BH9" i="15"/>
  <c r="BH17" i="7"/>
  <c r="BH18" i="7"/>
  <c r="BH10" i="15"/>
  <c r="BH11" i="15"/>
  <c r="BH12" i="15"/>
  <c r="BH13" i="15"/>
  <c r="BH6" i="6"/>
  <c r="BH7" i="6"/>
  <c r="BH8" i="6"/>
  <c r="BH9" i="6"/>
  <c r="BH10" i="6"/>
  <c r="BH14" i="15"/>
  <c r="BH6" i="8"/>
  <c r="BH7" i="8"/>
  <c r="BH15" i="15"/>
  <c r="BH17" i="9"/>
  <c r="BH16" i="15"/>
  <c r="BH28" i="5"/>
  <c r="BH11" i="5"/>
  <c r="BH46" i="5"/>
  <c r="BH29" i="5"/>
  <c r="BH12" i="5"/>
  <c r="BH47" i="5"/>
  <c r="BH30" i="5"/>
  <c r="BH48" i="5"/>
  <c r="BH31" i="5"/>
  <c r="BH49" i="5"/>
  <c r="BH32" i="5"/>
  <c r="BH50" i="5"/>
  <c r="BH33" i="5"/>
  <c r="BH16" i="5"/>
  <c r="BH51" i="5"/>
  <c r="BH34" i="5"/>
  <c r="BH52" i="5"/>
  <c r="BH35" i="5"/>
  <c r="BH53" i="5"/>
  <c r="BH36" i="5"/>
  <c r="BH19" i="5"/>
  <c r="BH54" i="5"/>
  <c r="BH37" i="5"/>
  <c r="BH55" i="5"/>
  <c r="BH38" i="5"/>
  <c r="BH21" i="5"/>
  <c r="BH56" i="5"/>
  <c r="BH39" i="5"/>
  <c r="BH57" i="5"/>
  <c r="BH40" i="5"/>
  <c r="BH58" i="5"/>
  <c r="BH43" i="5"/>
  <c r="BH26" i="5"/>
  <c r="BH9" i="5"/>
  <c r="BH44" i="5"/>
  <c r="BH45" i="5"/>
  <c r="BH60" i="5"/>
  <c r="BH17" i="15"/>
  <c r="BH18" i="15"/>
  <c r="BH19" i="15"/>
  <c r="BH20" i="15"/>
  <c r="BH21" i="15"/>
  <c r="BI25" i="7"/>
  <c r="BI26" i="7"/>
  <c r="BI5" i="15"/>
  <c r="BI9" i="7"/>
  <c r="BI10" i="7"/>
  <c r="BI6" i="15"/>
  <c r="BI13" i="7"/>
  <c r="BI14" i="7"/>
  <c r="BI7" i="15"/>
  <c r="BI21" i="7"/>
  <c r="BI22" i="7"/>
  <c r="BI8" i="15"/>
  <c r="BI5" i="7"/>
  <c r="BI6" i="7"/>
  <c r="BI9" i="15"/>
  <c r="BI17" i="7"/>
  <c r="BI18" i="7"/>
  <c r="BI10" i="15"/>
  <c r="BI11" i="15"/>
  <c r="BI12" i="15"/>
  <c r="BI13" i="15"/>
  <c r="BI6" i="6"/>
  <c r="BI7" i="6"/>
  <c r="BI8" i="6"/>
  <c r="BI9" i="6"/>
  <c r="BI10" i="6"/>
  <c r="BI14" i="15"/>
  <c r="BI6" i="8"/>
  <c r="BI7" i="8"/>
  <c r="BI15" i="15"/>
  <c r="BI17" i="9"/>
  <c r="BI16" i="15"/>
  <c r="BI28" i="5"/>
  <c r="BI11" i="5"/>
  <c r="BI46" i="5"/>
  <c r="BI29" i="5"/>
  <c r="BI12" i="5"/>
  <c r="BI47" i="5"/>
  <c r="BI30" i="5"/>
  <c r="BI48" i="5"/>
  <c r="BI31" i="5"/>
  <c r="BI49" i="5"/>
  <c r="BI32" i="5"/>
  <c r="BI50" i="5"/>
  <c r="BI33" i="5"/>
  <c r="BI16" i="5"/>
  <c r="BI51" i="5"/>
  <c r="BI34" i="5"/>
  <c r="BI52" i="5"/>
  <c r="BI35" i="5"/>
  <c r="BI53" i="5"/>
  <c r="BI36" i="5"/>
  <c r="BI19" i="5"/>
  <c r="BI54" i="5"/>
  <c r="BI37" i="5"/>
  <c r="BI55" i="5"/>
  <c r="BI38" i="5"/>
  <c r="BI21" i="5"/>
  <c r="BI56" i="5"/>
  <c r="BI39" i="5"/>
  <c r="BI57" i="5"/>
  <c r="BI40" i="5"/>
  <c r="BI58" i="5"/>
  <c r="BI43" i="5"/>
  <c r="BI26" i="5"/>
  <c r="BI9" i="5"/>
  <c r="BI44" i="5"/>
  <c r="BI45" i="5"/>
  <c r="BI60" i="5"/>
  <c r="BI17" i="15"/>
  <c r="BI18" i="15"/>
  <c r="BI19" i="15"/>
  <c r="BI20" i="15"/>
  <c r="BI21" i="15"/>
  <c r="F42" i="15"/>
  <c r="B44" i="15"/>
  <c r="B47" i="15"/>
  <c r="B48" i="15"/>
  <c r="B49" i="15"/>
  <c r="B46" i="15"/>
  <c r="B26" i="15"/>
  <c r="C26" i="15"/>
  <c r="D26" i="15"/>
  <c r="E26" i="15"/>
  <c r="F26" i="15"/>
  <c r="B27" i="15"/>
  <c r="C27" i="15"/>
  <c r="D27" i="15"/>
  <c r="E27" i="15"/>
  <c r="F27" i="15"/>
  <c r="B28" i="15"/>
  <c r="C28" i="15"/>
  <c r="D28" i="15"/>
  <c r="E28" i="15"/>
  <c r="F28" i="15"/>
  <c r="B29" i="15"/>
  <c r="C29" i="15"/>
  <c r="D29" i="15"/>
  <c r="E29" i="15"/>
  <c r="F29" i="15"/>
  <c r="B30" i="15"/>
  <c r="C30" i="15"/>
  <c r="D30" i="15"/>
  <c r="E30" i="15"/>
  <c r="F30" i="15"/>
  <c r="B31" i="15"/>
  <c r="C31" i="15"/>
  <c r="D31" i="15"/>
  <c r="E31" i="15"/>
  <c r="F31" i="15"/>
  <c r="B32" i="15"/>
  <c r="C32" i="15"/>
  <c r="D32" i="15"/>
  <c r="E32" i="15"/>
  <c r="F32" i="15"/>
  <c r="B33" i="15"/>
  <c r="C33" i="15"/>
  <c r="D33" i="15"/>
  <c r="E33" i="15"/>
  <c r="F33" i="15"/>
  <c r="B34" i="15"/>
  <c r="C34" i="15"/>
  <c r="D34" i="15"/>
  <c r="E34" i="15"/>
  <c r="F34" i="15"/>
  <c r="B35" i="15"/>
  <c r="C35" i="15"/>
  <c r="D35" i="15"/>
  <c r="E35" i="15"/>
  <c r="F35" i="15"/>
  <c r="B36" i="15"/>
  <c r="C36" i="15"/>
  <c r="D36" i="15"/>
  <c r="E36" i="15"/>
  <c r="F36" i="15"/>
  <c r="B37" i="15"/>
  <c r="C37" i="15"/>
  <c r="D37" i="15"/>
  <c r="E37" i="15"/>
  <c r="F37" i="15"/>
  <c r="B38" i="15"/>
  <c r="C38" i="15"/>
  <c r="D38" i="15"/>
  <c r="E38" i="15"/>
  <c r="F38" i="15"/>
  <c r="B39" i="15"/>
  <c r="C39" i="15"/>
  <c r="D39" i="15"/>
  <c r="E39" i="15"/>
  <c r="F39" i="15"/>
  <c r="B40" i="15"/>
  <c r="C40" i="15"/>
  <c r="D40" i="15"/>
  <c r="E40" i="15"/>
  <c r="F40" i="15"/>
  <c r="B41" i="15"/>
  <c r="C41" i="15"/>
  <c r="D41" i="15"/>
  <c r="E41" i="15"/>
  <c r="F41" i="15"/>
  <c r="C86" i="5"/>
  <c r="C87" i="5"/>
  <c r="C88" i="5"/>
  <c r="C89" i="5"/>
  <c r="C91" i="5"/>
  <c r="C94" i="5"/>
  <c r="C96" i="5"/>
  <c r="C97" i="5"/>
  <c r="C99" i="5"/>
  <c r="D86" i="5"/>
  <c r="D87" i="5"/>
  <c r="D91" i="5"/>
  <c r="D96" i="5"/>
  <c r="D99" i="5"/>
  <c r="E86" i="5"/>
  <c r="E87" i="5"/>
  <c r="E91" i="5"/>
  <c r="E94" i="5"/>
  <c r="E96" i="5"/>
  <c r="E99" i="5"/>
  <c r="F86" i="5"/>
  <c r="F87" i="5"/>
  <c r="F91" i="5"/>
  <c r="F94" i="5"/>
  <c r="F96" i="5"/>
  <c r="F99" i="5"/>
  <c r="B99" i="5"/>
  <c r="C84" i="5"/>
  <c r="D84" i="5"/>
  <c r="E84" i="5"/>
  <c r="F84" i="5"/>
  <c r="D100" i="5"/>
  <c r="F100" i="5"/>
  <c r="E100" i="5"/>
  <c r="C100" i="5"/>
  <c r="B100" i="5"/>
  <c r="B66" i="5"/>
  <c r="C66" i="5"/>
  <c r="D66" i="5"/>
  <c r="E66" i="5"/>
  <c r="F66" i="5"/>
  <c r="B67" i="5"/>
  <c r="C67" i="5"/>
  <c r="D67" i="5"/>
  <c r="E67" i="5"/>
  <c r="F67" i="5"/>
  <c r="B68" i="5"/>
  <c r="C68" i="5"/>
  <c r="D68" i="5"/>
  <c r="E68" i="5"/>
  <c r="F68" i="5"/>
  <c r="B69" i="5"/>
  <c r="C69" i="5"/>
  <c r="D69" i="5"/>
  <c r="E69" i="5"/>
  <c r="F69" i="5"/>
  <c r="B70" i="5"/>
  <c r="C70" i="5"/>
  <c r="D70" i="5"/>
  <c r="E70" i="5"/>
  <c r="F70" i="5"/>
  <c r="B71" i="5"/>
  <c r="C71" i="5"/>
  <c r="D71" i="5"/>
  <c r="E71" i="5"/>
  <c r="F71" i="5"/>
  <c r="B72" i="5"/>
  <c r="C72" i="5"/>
  <c r="D72" i="5"/>
  <c r="E72" i="5"/>
  <c r="F72" i="5"/>
  <c r="B73" i="5"/>
  <c r="C73" i="5"/>
  <c r="D73" i="5"/>
  <c r="E73" i="5"/>
  <c r="F73" i="5"/>
  <c r="B74" i="5"/>
  <c r="C74" i="5"/>
  <c r="D74" i="5"/>
  <c r="E74" i="5"/>
  <c r="F74" i="5"/>
  <c r="B75" i="5"/>
  <c r="C75" i="5"/>
  <c r="D75" i="5"/>
  <c r="E75" i="5"/>
  <c r="F75" i="5"/>
  <c r="B76" i="5"/>
  <c r="C76" i="5"/>
  <c r="D76" i="5"/>
  <c r="E76" i="5"/>
  <c r="F76" i="5"/>
  <c r="B77" i="5"/>
  <c r="C77" i="5"/>
  <c r="D77" i="5"/>
  <c r="E77" i="5"/>
  <c r="F77" i="5"/>
  <c r="B78" i="5"/>
  <c r="C78" i="5"/>
  <c r="D78" i="5"/>
  <c r="E78" i="5"/>
  <c r="F78" i="5"/>
  <c r="B79" i="5"/>
  <c r="C79" i="5"/>
  <c r="D79" i="5"/>
  <c r="E79" i="5"/>
  <c r="F79" i="5"/>
  <c r="F65" i="5"/>
  <c r="E65" i="5"/>
  <c r="D65" i="5"/>
  <c r="C65" i="5"/>
  <c r="B65" i="5"/>
  <c r="F80" i="5"/>
  <c r="E80" i="5"/>
  <c r="D80" i="5"/>
  <c r="C80" i="5"/>
  <c r="B80" i="5"/>
  <c r="B15" i="6"/>
  <c r="C15" i="6"/>
  <c r="D15" i="6"/>
  <c r="E15" i="6"/>
  <c r="F15" i="6"/>
  <c r="B16" i="6"/>
  <c r="C16" i="6"/>
  <c r="D16" i="6"/>
  <c r="E16" i="6"/>
  <c r="F16" i="6"/>
  <c r="B17" i="6"/>
  <c r="C17" i="6"/>
  <c r="D17" i="6"/>
  <c r="E17" i="6"/>
  <c r="F17" i="6"/>
  <c r="B18" i="6"/>
  <c r="C18" i="6"/>
  <c r="D18" i="6"/>
  <c r="E18" i="6"/>
  <c r="F18" i="6"/>
  <c r="F14" i="6"/>
  <c r="E14" i="6"/>
  <c r="D14" i="6"/>
  <c r="C14" i="6"/>
  <c r="B14" i="6"/>
  <c r="C19" i="6"/>
  <c r="D19" i="6"/>
  <c r="E19" i="6"/>
  <c r="F19" i="6"/>
  <c r="B19" i="6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F33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C10" i="8"/>
  <c r="C12" i="8"/>
  <c r="D10" i="8"/>
  <c r="D12" i="8"/>
  <c r="E10" i="8"/>
  <c r="E12" i="8"/>
  <c r="F10" i="8"/>
  <c r="F12" i="8"/>
  <c r="B10" i="8"/>
  <c r="B11" i="8"/>
  <c r="B12" i="8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28" i="7"/>
  <c r="F36" i="7"/>
  <c r="E36" i="7"/>
  <c r="D36" i="7"/>
  <c r="C36" i="7"/>
  <c r="B36" i="7"/>
  <c r="F35" i="7"/>
  <c r="E35" i="7"/>
  <c r="D35" i="7"/>
  <c r="C35" i="7"/>
  <c r="B35" i="7"/>
  <c r="F34" i="7"/>
  <c r="E34" i="7"/>
  <c r="D34" i="7"/>
  <c r="C34" i="7"/>
  <c r="B34" i="7"/>
  <c r="F33" i="7"/>
  <c r="E33" i="7"/>
  <c r="D33" i="7"/>
  <c r="C33" i="7"/>
  <c r="B33" i="7"/>
  <c r="F32" i="7"/>
  <c r="E32" i="7"/>
  <c r="D32" i="7"/>
  <c r="C32" i="7"/>
  <c r="B32" i="7"/>
  <c r="F31" i="7"/>
  <c r="E31" i="7"/>
  <c r="D31" i="7"/>
  <c r="C31" i="7"/>
  <c r="B31" i="7"/>
  <c r="F37" i="7"/>
  <c r="E37" i="7"/>
  <c r="D37" i="7"/>
  <c r="C37" i="7"/>
  <c r="B37" i="7"/>
  <c r="B28" i="1"/>
  <c r="C53" i="1"/>
  <c r="D53" i="1"/>
  <c r="B44" i="1"/>
  <c r="C44" i="1"/>
  <c r="D44" i="1"/>
  <c r="E44" i="1"/>
  <c r="F44" i="1"/>
  <c r="C45" i="1"/>
  <c r="D45" i="1"/>
  <c r="E45" i="1"/>
  <c r="F45" i="1"/>
  <c r="C42" i="1"/>
  <c r="D42" i="1"/>
  <c r="E42" i="1"/>
  <c r="F42" i="1"/>
  <c r="C41" i="1"/>
  <c r="D41" i="1"/>
  <c r="E41" i="1"/>
  <c r="F41" i="1"/>
  <c r="C40" i="1"/>
  <c r="D40" i="1"/>
  <c r="E40" i="1"/>
  <c r="F40" i="1"/>
  <c r="C34" i="1"/>
  <c r="D34" i="1"/>
  <c r="E34" i="1"/>
  <c r="F34" i="1"/>
  <c r="C35" i="1"/>
  <c r="D35" i="1"/>
  <c r="E35" i="1"/>
  <c r="F35" i="1"/>
  <c r="C33" i="1"/>
  <c r="A2" i="6"/>
  <c r="A2" i="9"/>
  <c r="A3" i="5"/>
  <c r="A2" i="5"/>
  <c r="A2" i="8"/>
  <c r="A2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A2" i="1"/>
  <c r="A2" i="7"/>
</calcChain>
</file>

<file path=xl/comments1.xml><?xml version="1.0" encoding="utf-8"?>
<comments xmlns="http://schemas.openxmlformats.org/spreadsheetml/2006/main">
  <authors>
    <author>jd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Valor médio previsto para os próximos anos.</t>
        </r>
      </text>
    </comment>
    <comment ref="B16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Cidade de São Paulo, sede do Tourbr.com</t>
        </r>
      </text>
    </comment>
    <comment ref="B23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Os valores tanto de receita, como custos/despesas, foram considerados fixos, sem reajustes anuais, para facilitar os cálculos das projeções. Porém, poderiam ter sido considerados com todos os reajustes devidos (tanto de preços de produtos/serviços como de custos/despesas etc.) caso se queira obter conclusão com dados mais precisos. O índice do reajuste poderia ser a taxa Selic, IGPM ou outro similar. OBS: foi considerado o reajuste de salários!</t>
        </r>
      </text>
    </comment>
    <comment ref="C24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valor médio</t>
        </r>
      </text>
    </comment>
    <comment ref="B25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taxa mensal fixa no ano 1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percentual sobre venda dos produtos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o preço de venda médio de produtos será de U$50,00 e taxa de coversão dólar/real de 1,8.
Lembrando que o gasto médio do turista estrangeiro em 2010 foi de U$1200.</t>
        </r>
      </text>
    </comment>
    <comment ref="B27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inicialmente apenas poucos parceiros de e-commerce participarão do site, aumentando o número progressivamente ao ano, até atingir 200 parceiros.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no primeiro ano, considerou-se apenas uma venda a cada 2 meses para cada parceiro. A partir do ano 2, foram consideradas pelo menos 2 vendas/mês por parceiro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Para facilitar a projeção, não foi considerada a sazonalidade nas vendas (em todos os anos). 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2% dos estabelecimentos cadastrados pagantes fariam pelo menos 1 venda mensal como parceiros de venda do Guia Local, pagando comissão de R$500 ao site Tourbr.com pela venda. Para facilitar o cálculo, considerou-se ainda um mesmo valor médio arrecadado ao mês e desconsiderou-se a evolução mensal do número de assinantes pagantes, o que aumenta a receita, já que nos meses iniciais do ano o número de cadastros é menor que no mês final. Caso se queira maior precisão, o correto seria considerar a evolução mês a mês do número de assinantes pagantes e então calcular o valor financeiro que se obteria com as vendas do Guia Local.</t>
        </r>
      </text>
    </comment>
    <comment ref="B33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R$20.000,00 ao mês para todos os anos, sem correção do valor</t>
        </r>
      </text>
    </comment>
    <comment ref="B35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por palavra chave por clique de usuário (fonte: google adwords)</t>
        </r>
      </text>
    </comment>
    <comment ref="B37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o número de visitas orgânicas equivale a 10% de visitas Adwords no ano 1. Nos demais anos a taxa aumenta progressivamente/agressivamente.</t>
        </r>
      </text>
    </comment>
    <comment ref="B38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premissa de 20% das visitas transformarem-se em cadastros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 partir do ano 5 a taxa de conversão de cadastros cai para 15%, pois já há bastante 
retorno ao site dos vários visitantes cadastrados nos anos anteriores</t>
        </r>
      </text>
    </comment>
    <comment ref="B39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bate a meta de cadastros para o ano 1 (150mil)</t>
        </r>
      </text>
    </comment>
    <comment ref="D39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bate a meta de cadastros para o ano 3 (500mil)</t>
        </r>
      </text>
    </comment>
    <comment ref="E39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bate a meta de cadastros para o ano 4 (1milhão). Este número representa cerca de 20 a 30% dos turistas de língua inglesa que deverão visitar o país em 2014; considerando ainda que os turistas de língua inglesa representam cerca de 50% do total de 7,5 milhões de turistas que deverão visitar o Brasil em 2014; vide seção Análise de mercado para mais detalhes.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a mesma estrutura para todos os anos da operação</t>
        </r>
      </text>
    </comment>
    <comment ref="B43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3 em cada 10 ligações convertem-se em cadastros de estabelecimentos no site.</t>
        </r>
      </text>
    </comment>
    <comment ref="B44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Lembrando que pesquisa usada como referência  (projeto Wikibar) mostrou que 90% dos estabelecimentos se cadastrariam. Aqui, consideramos apenas 30%</t>
        </r>
      </text>
    </comment>
    <comment ref="B45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De todas as ligações feitas, 2% dos estabelecimentos aceitam pagar taxa mensal para ter destaque no site. Lembrando que a referência (projeto Wikibar) conseguiu índices muito maiores em sua pesquisa de mercado. Em síntese, adotar o índice de 2% parece viável e não necessariamente otimista.</t>
        </r>
      </text>
    </comment>
    <comment ref="B46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Lembrando que pesquisa usada como referência  (projeto Wikibar) mostrou que 90% se cadastrariam e pagariam pelo menos R$50,00/mês</t>
        </r>
      </text>
    </comment>
    <comment ref="B47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foram considerados 22 dias úteis no mês</t>
        </r>
      </text>
    </comment>
    <comment ref="A48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aqui apenas assinaturas adquiridas via telemkt. Poderia ter sido considerada ainda a aquisição de assinaturas via web (orgânica) e via parceiros locais.</t>
        </r>
      </text>
    </comment>
    <comment ref="B48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Este valor corresponde a menos de 5% dos estabelecimentos (hotéis, bares, restaurantes etc.) das 10 principais cidades (foco do ano 1, lembrando que a partir do ano 2 serão todos os 65 principais destinos turísticos). Como exemplo, apenas São Paulo possui mais de 10mil restaurantes e cerca de 500 hotéis que podem atender ao público-alvo (fonte: cidadedesaopaulo.com). O Rio de Janeiro vem em seguida (em qtde. de restaurantes e com número similar ou maior de hotéis) e as demais cidades seguem a proporção do PIB. Isso significa que o valor de cadastrados pagantes é plausível de ser atingido, tendo em vista a pesquisa de mercado do projeto de referência Wikibar, que apresentou números muito superiores de tendências de assinaturas (90% dos respondentes). Vide dados da pesquisa de mercado do projeto Wikibar abaixo, ao final das premissas do Tourbr.com</t>
        </r>
      </text>
    </comment>
    <comment ref="D48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a partir do ano 3 há perda de 5% da base de assinantes ao ano, ou seja, não há apenas crescimento da base.</t>
        </r>
      </text>
    </comment>
    <comment ref="B57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As vendas de publicidade seguem preço de tabela típico do mercado brasileiro (600 reais para 1000 visitantes do site), mas com desconto de 70% sobre o valor, já que o site ainda está na fase startup no primeiro ano. A partir do segundo ano este valor passa a 50% do valor de tabela.</t>
        </r>
      </text>
    </comment>
    <comment ref="D57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 partir do ano 3 considerou-se que não houve aumento do valor cobrado de publicidade.</t>
        </r>
      </text>
    </comment>
    <comment ref="B59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este valor com base em relatórios similares vendidos por empresas de pesquisa de mercado, porém a um preço 30% inferior</t>
        </r>
      </text>
    </comment>
    <comment ref="B60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a venda de 2 acessos semestrais a relatórios para 1% da base de assinantes ao ano</t>
        </r>
      </text>
    </comment>
    <comment ref="B61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considera-se aqui uma média de 8 disparos mensais de email mkt para cada usuário cadastrado no site</t>
        </r>
      </text>
    </comment>
    <comment ref="B62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O preço por envio de email marketing considerado foi de 100 reais para cada mil emails (referência do mercado brasileiro). </t>
        </r>
      </text>
    </comment>
    <comment ref="C62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 partir do ano 2 consideou-se que não houve aumento do valor cobrado por email mkt enviado.</t>
        </r>
      </text>
    </comment>
    <comment ref="B65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Para facilitar os cálculos considerou-se uma média mensal de receita com venda de acessos a relatórios de mercado</t>
        </r>
      </text>
    </comment>
    <comment ref="B66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todos os usuários cadastrados recebem pelo menos 8 emails mensais. Para facilitar o cálculo, considerou-se ainda um mesmo valor médio arrecadado ao mês e desconsiderou-se a evolução mensal do número de usuários cadastrados, o que aumenta a receita aqui apresentada, já que nos meses iniciais do ano o número de usuários é menor que no mês final. Caso se queira maior precisão, o correto seria considerar a evolução mês a mês do número de usuários cadastrados e então calcular o valor financeiro que se obteria com os disparos de email mkt.</t>
        </r>
      </text>
    </comment>
  </commentList>
</comments>
</file>

<file path=xl/comments2.xml><?xml version="1.0" encoding="utf-8"?>
<comments xmlns="http://schemas.openxmlformats.org/spreadsheetml/2006/main">
  <authors>
    <author>jd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aumentos decorrem de necessidade de alugar sala comercial maior conforme num. de fucionários cresce.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aumentos decorrem de necessidade de alugar sala comercial maior conforme num. de fucionários cresce.</t>
        </r>
      </text>
    </comment>
  </commentList>
</comments>
</file>

<file path=xl/comments3.xml><?xml version="1.0" encoding="utf-8"?>
<comments xmlns="http://schemas.openxmlformats.org/spreadsheetml/2006/main">
  <authors>
    <author>jd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Inclui a obtenção de informação sobre as localidades turísticas para alimentar o site do Tourbr.com e eventuais traduções para o inglês terceirizadas. Porém, a maioria dos textos deverá ser revisada e versada para o inglês pela equipe do Tourbr.com, que estará apta a realizar esta atividade</t>
        </r>
      </text>
    </comment>
  </commentList>
</comments>
</file>

<file path=xl/comments4.xml><?xml version="1.0" encoding="utf-8"?>
<comments xmlns="http://schemas.openxmlformats.org/spreadsheetml/2006/main">
  <authors>
    <author>jd</author>
  </authors>
  <commentList>
    <comment ref="A24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Considerou-se que encargos e benefícios correspondem a 100% do salário. Assim, o valor apresentado aqui corresponde a 2 vezes o salário base do funcionário. As únicas exceções são os conselheiros (que emitem nota fiscal), os estagiários (que não pagam encargos) e os sócios, para os quais o valor dos encargos é um pouco menor.</t>
        </r>
      </text>
    </comment>
  </commentList>
</comments>
</file>

<file path=xl/comments5.xml><?xml version="1.0" encoding="utf-8"?>
<comments xmlns="http://schemas.openxmlformats.org/spreadsheetml/2006/main">
  <authors>
    <author>jd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jd:
Importante: nesta simulação, para simplificar a análise, considerou-se que todas as vendas ocorreram à vista e que os impostos incidentes são pagos no mesmo mês das vendas. Na prática, isso não ocorre, pois o fluxo de caixa será provavelmente influenciado por vendas a prazo e os impostos incidirão de acordo com o regime definido para a empresa: lucro real, lucro presumido etc. E ainda, caso você decida pela adesão ao Simples Nacional todos os impostos incidirão sobre a receita, já que há uma alíquota única de imposto.
Não foram consideradas ainda depreciação e amortização.
Isso posto, os resultados aqui apresentados servem apenas para se ter uma referência de valores e viabilidade financeira. Mesmo assim, não fogem muito da realidade, apesar das ressalvas acima. O cenário aqui apresentado é dos mais onerosos para o empreendedor, pois há impostos integrais incidentes na receita e no lucro, o que geralmente pode ser evitado legalmente com gestões financeira e contábil adequadas. Cabe destacar ainda que os investimentos feitos no negócio, quando focados em Pesquisa e Desenvolvimento (website, por exemplo) poderiam ser abatidos no imposto de renda até um certo limite, de acordo com a lei de inovação, melhorando ainda mais o resultado.
Finalmente, note que a projeção foi feita apenas até o ano 5. Caso a projeção continuasse pelo menos até o ano 6 (ano das Olimpíadas), os resultados aqui apresentados seriam ainda melhores, o que permitiria uma negociação mais adequada com os investidores, oferecendo a eles uma participação menor no negócio, pois provavelmente o VPL seria maior!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Para facilitar o entendimento, os custos e despesas referentes aos funcionários foram considerados em linha à parte. Uma maneira mais precisa para obter esta projeção seria vincular os pagamentos com funcionários de atividades produtivas (mkt, comercial, suporte aos usuários etc.) aos custos e os pagamentos de funcionários de atividades de suporte (adm, financeiro etc.) às despesas. Isso permitiria ter uma referência de margem operacional e líquida para comparação com outros negócios similares.</t>
        </r>
      </text>
    </comment>
    <comment ref="A42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Não foram considerados os pagamentos de bônus e participação nos resultados aos funcionários nestas projeções, pois o fluxo de caixa acumulado torna-se positivo apenas no mês 43. Ao final dos anos 4 e 5, no entanto, já poderia ter sido pago bônus, pois houve lucro e as metas foram cumpridas.</t>
        </r>
      </text>
    </comment>
    <comment ref="B49" authorId="0">
      <text>
        <r>
          <rPr>
            <b/>
            <sz val="9"/>
            <color indexed="81"/>
            <rFont val="Tahoma"/>
            <family val="2"/>
          </rPr>
          <t>jd:</t>
        </r>
        <r>
          <rPr>
            <sz val="9"/>
            <color indexed="81"/>
            <rFont val="Tahoma"/>
            <family val="2"/>
          </rPr>
          <t xml:space="preserve">
Esse seria o valor de referência, mas cabe negociação. Geralmente, os investidores de risco e anjos ficam com menos de 50% do negócio no aporte inicial, mas é claro que sempre vão querer mais! Porém, a taxa de desconto considerada neste cenário (13%) é considerada baixa para a maioria dos investidores, o que valoriza ainda mais o aporte de recursos vindos desta fonte.</t>
        </r>
      </text>
    </comment>
  </commentList>
</comments>
</file>

<file path=xl/sharedStrings.xml><?xml version="1.0" encoding="utf-8"?>
<sst xmlns="http://schemas.openxmlformats.org/spreadsheetml/2006/main" count="411" uniqueCount="228">
  <si>
    <t>mês13</t>
  </si>
  <si>
    <t>mês14</t>
  </si>
  <si>
    <t>mês15</t>
  </si>
  <si>
    <t>mês16</t>
  </si>
  <si>
    <t>mês17</t>
  </si>
  <si>
    <t>mês18</t>
  </si>
  <si>
    <t>mês19</t>
  </si>
  <si>
    <t>mês20</t>
  </si>
  <si>
    <t>mês21</t>
  </si>
  <si>
    <t>mês22</t>
  </si>
  <si>
    <t>mês23</t>
  </si>
  <si>
    <t>mês24</t>
  </si>
  <si>
    <t>mês25</t>
  </si>
  <si>
    <t>mês26</t>
  </si>
  <si>
    <t>mês27</t>
  </si>
  <si>
    <t>mês28</t>
  </si>
  <si>
    <t>mês29</t>
  </si>
  <si>
    <t>mês30</t>
  </si>
  <si>
    <t>mês31</t>
  </si>
  <si>
    <t>mês32</t>
  </si>
  <si>
    <t>mês33</t>
  </si>
  <si>
    <t>mês34</t>
  </si>
  <si>
    <t>IR</t>
  </si>
  <si>
    <t>Contador</t>
  </si>
  <si>
    <t>Receita</t>
  </si>
  <si>
    <t>TOTAL</t>
  </si>
  <si>
    <t>Custos</t>
  </si>
  <si>
    <t>Despesas</t>
  </si>
  <si>
    <t>Aluguel/Condomínio</t>
  </si>
  <si>
    <t>Publicidade e promoções</t>
  </si>
  <si>
    <t>mês38</t>
  </si>
  <si>
    <t>mês39</t>
  </si>
  <si>
    <t>mês40</t>
  </si>
  <si>
    <t>mês41</t>
  </si>
  <si>
    <t>mês42</t>
  </si>
  <si>
    <t>mês43</t>
  </si>
  <si>
    <t>mês44</t>
  </si>
  <si>
    <t>mês45</t>
  </si>
  <si>
    <t>mês46</t>
  </si>
  <si>
    <t>mês47</t>
  </si>
  <si>
    <t>mês48</t>
  </si>
  <si>
    <t>mês49</t>
  </si>
  <si>
    <t>mês50</t>
  </si>
  <si>
    <t>mês51</t>
  </si>
  <si>
    <t>mês52</t>
  </si>
  <si>
    <t>mês53</t>
  </si>
  <si>
    <t>mês54</t>
  </si>
  <si>
    <t>mês55</t>
  </si>
  <si>
    <t>mês56</t>
  </si>
  <si>
    <t>mês57</t>
  </si>
  <si>
    <t>mês58</t>
  </si>
  <si>
    <t>Investimentos na infra-estrutura</t>
  </si>
  <si>
    <t>Nome da Empresa</t>
  </si>
  <si>
    <t>Ano de Início da Operação</t>
  </si>
  <si>
    <t>Mês 1</t>
  </si>
  <si>
    <t>Ano Final da Projeção</t>
  </si>
  <si>
    <t>Moeda</t>
  </si>
  <si>
    <t>R$</t>
  </si>
  <si>
    <t>Denominação</t>
  </si>
  <si>
    <t>000's</t>
  </si>
  <si>
    <t>mês1</t>
  </si>
  <si>
    <t>mês 2</t>
  </si>
  <si>
    <t>mês3</t>
  </si>
  <si>
    <t>mês4</t>
  </si>
  <si>
    <t>mês5</t>
  </si>
  <si>
    <t>mês6</t>
  </si>
  <si>
    <t>mês7</t>
  </si>
  <si>
    <t>mês8</t>
  </si>
  <si>
    <t>Lucro Anual</t>
  </si>
  <si>
    <t>Taxa de desconto</t>
  </si>
  <si>
    <t>VPL</t>
  </si>
  <si>
    <t>Despesas operacionais</t>
  </si>
  <si>
    <t>Analista</t>
  </si>
  <si>
    <t>PREMISSAS GERAIS</t>
  </si>
  <si>
    <t>Coordenador de parcerias</t>
  </si>
  <si>
    <t>mês11</t>
  </si>
  <si>
    <t>mês12</t>
  </si>
  <si>
    <t>mês9</t>
  </si>
  <si>
    <t>mês10</t>
  </si>
  <si>
    <t>mês59</t>
  </si>
  <si>
    <t>mês60</t>
  </si>
  <si>
    <t>Salário dos Funcionários</t>
  </si>
  <si>
    <t>QUADRO DE FUNCIONÁRIOS</t>
  </si>
  <si>
    <t>CONSELHO</t>
  </si>
  <si>
    <t>Material de Escritório</t>
  </si>
  <si>
    <t>CSLL</t>
  </si>
  <si>
    <t>Conselheiros</t>
  </si>
  <si>
    <t>Funcionários</t>
  </si>
  <si>
    <t>Investimentos</t>
  </si>
  <si>
    <t>Internet</t>
  </si>
  <si>
    <t>mês35</t>
  </si>
  <si>
    <t>mês36</t>
  </si>
  <si>
    <t>mês37</t>
  </si>
  <si>
    <t>RESULTADOS ANUAIS</t>
  </si>
  <si>
    <t>Lucro Bruto</t>
  </si>
  <si>
    <t>Lucro Líquido</t>
  </si>
  <si>
    <t>ISS</t>
  </si>
  <si>
    <t>PIS/COFINS</t>
  </si>
  <si>
    <t>Caixa Acumulado [R$]</t>
  </si>
  <si>
    <t>Estagiário</t>
  </si>
  <si>
    <t>SALÁRIOS (já com ENCARGOS/BENEFÍCIOS)</t>
  </si>
  <si>
    <t>GASTOS TOTAIS COM FUNCIONÁRIOS</t>
  </si>
  <si>
    <t>Tourbr.com</t>
  </si>
  <si>
    <t>Mês 60</t>
  </si>
  <si>
    <t>Assinatura mensal</t>
  </si>
  <si>
    <t>Ano 1</t>
  </si>
  <si>
    <t>Ano 2</t>
  </si>
  <si>
    <t>Ano 3</t>
  </si>
  <si>
    <t>Ano 4</t>
  </si>
  <si>
    <t>Ano 5</t>
  </si>
  <si>
    <t>Reajuste de salários (Selic, base 2010)</t>
  </si>
  <si>
    <t>Taxa média paga por palavra chave (Adwords)</t>
  </si>
  <si>
    <t>Orçamento de Google Adwords/mês</t>
  </si>
  <si>
    <t>Número de visitas ao site/mês (via Adwords)</t>
  </si>
  <si>
    <t>Número de visitas ao site/mês (orgânico)</t>
  </si>
  <si>
    <t>Total de ligações telemkt/dia</t>
  </si>
  <si>
    <t>Taxa de conversão de cadastros no site</t>
  </si>
  <si>
    <t xml:space="preserve">Taxa de conversão de pagantes </t>
  </si>
  <si>
    <t>Número de assinantes efetivos/dia (novos)</t>
  </si>
  <si>
    <t>Número de novos cadastros comerciais/dia</t>
  </si>
  <si>
    <t>Orçamento de marketing (publicidade sites internacionais)</t>
  </si>
  <si>
    <t>Orçamento de marketing (Adwords)</t>
  </si>
  <si>
    <t>Valor médio de receita/email mkt</t>
  </si>
  <si>
    <t>Valor médio de receita de publicidade/acesso</t>
  </si>
  <si>
    <t>Número de assinantes efetivos/mês (novos)</t>
  </si>
  <si>
    <t>Número de cadastros no site/mês (via Adwords e Orgânico)</t>
  </si>
  <si>
    <t>Número de email mkt vendido/mês/cadastro</t>
  </si>
  <si>
    <t>Valor médio de receita com email mkt/usuário/mês</t>
  </si>
  <si>
    <t>Base de assinantes (estabelecimentos cadastrados pagantes)</t>
  </si>
  <si>
    <t>Número de assinantes acumulados/ano</t>
  </si>
  <si>
    <t>Receita média com relatórios/mês</t>
  </si>
  <si>
    <t>Receita média com email mkt/mês</t>
  </si>
  <si>
    <t>Receita média de publicidade/mês</t>
  </si>
  <si>
    <t>Postos de telemarketing ativos</t>
  </si>
  <si>
    <t>Premissas de número de usuários</t>
  </si>
  <si>
    <t>Orçamento com comunicação</t>
  </si>
  <si>
    <t>Premissas comerciais</t>
  </si>
  <si>
    <t>Preço do pacote Guia Local</t>
  </si>
  <si>
    <t>Taxa cobrada dos parceiros de e-commerce</t>
  </si>
  <si>
    <t>Ticket médio obtido com e-commerce</t>
  </si>
  <si>
    <t>Orçamento anual de Google Adwords</t>
  </si>
  <si>
    <t xml:space="preserve">Número acumulado de cadastros de usuários </t>
  </si>
  <si>
    <t>Número de ligações telefônicas diárias por posto de telemkt.</t>
  </si>
  <si>
    <t>PREMISSAS</t>
  </si>
  <si>
    <t>Observação: passe o ícone (do mouse) sobre as células para ter acesso à explicação do memorial de cálculo</t>
  </si>
  <si>
    <t>Orçamento total de mkt ao ano</t>
  </si>
  <si>
    <t>Premissas de receita com publicidade</t>
  </si>
  <si>
    <t>Número de paceiros de e-commerce</t>
  </si>
  <si>
    <t>Número de produtos vendidos ao mês</t>
  </si>
  <si>
    <t>Publicidade</t>
  </si>
  <si>
    <t>E-commerce</t>
  </si>
  <si>
    <t>Email mkt</t>
  </si>
  <si>
    <t>Assinaturas</t>
  </si>
  <si>
    <t>Publicidade no site (banners e demais meios de divulgação no site)</t>
  </si>
  <si>
    <t>Disparo de email mkt para a base de usuários cadastrados</t>
  </si>
  <si>
    <t>Estabelecimentos comerciais cadastrados (hotéis, restaurantes etc.)</t>
  </si>
  <si>
    <t>Comissão sobre produtos vendidos de parceiros</t>
  </si>
  <si>
    <t xml:space="preserve">Receita média com comissão sobre produtos vendidos ao mês </t>
  </si>
  <si>
    <t>Guia Local</t>
  </si>
  <si>
    <t>Serviço de acesso aos relatórios de pesquisas de mercado</t>
  </si>
  <si>
    <t>Valor médio de assinatura/acesso a relatório de mercado</t>
  </si>
  <si>
    <t>Número de acessos a relatórios vendidos/ano</t>
  </si>
  <si>
    <t>Receita média com comissão sobre o pacote Guia Local/mês</t>
  </si>
  <si>
    <t>Taxa/comissão sobre serviço Guia Local</t>
  </si>
  <si>
    <t>Receita Total</t>
  </si>
  <si>
    <t>Relatórios de mercado</t>
  </si>
  <si>
    <t>RECEITA TOTAL</t>
  </si>
  <si>
    <t>Outros serviços de terceiros</t>
  </si>
  <si>
    <t>Software de escritório</t>
  </si>
  <si>
    <t>Correios, jornais, revistas etc.</t>
  </si>
  <si>
    <t>Viagens e treinamentos</t>
  </si>
  <si>
    <t>Computadores, móveis etc.</t>
  </si>
  <si>
    <t>Custos de desenvolvimento e gestão do site</t>
  </si>
  <si>
    <t>TECNOLOGIA</t>
  </si>
  <si>
    <t>MARKETING/COMERCIAL</t>
  </si>
  <si>
    <t>ADMINISTRATIVO/FINANCEIRO</t>
  </si>
  <si>
    <t>Diretor Administrativo-Financeiro</t>
  </si>
  <si>
    <t>Presidência (pro-labore)</t>
  </si>
  <si>
    <t>Diretor de Tecnologia</t>
  </si>
  <si>
    <t>Diretor de Marketing (pro-labore)</t>
  </si>
  <si>
    <t>Assistente adm-financeiro</t>
  </si>
  <si>
    <t>Engenheiro de software</t>
  </si>
  <si>
    <t>Telemarketing ativo (terceirizado)</t>
  </si>
  <si>
    <t>Agência web (desenvolvimento e manutenção do website)</t>
  </si>
  <si>
    <t>Hospedagem do website</t>
  </si>
  <si>
    <t>Resultados</t>
  </si>
  <si>
    <t>Impostos sobre faturamento</t>
  </si>
  <si>
    <t>Encargos e impostos</t>
  </si>
  <si>
    <t>RECEITA</t>
  </si>
  <si>
    <t>Equipamentos e móveis de escritório</t>
  </si>
  <si>
    <t>Outros</t>
  </si>
  <si>
    <t>Receita total bruta</t>
  </si>
  <si>
    <t>Impostos sobre a receita bruta</t>
  </si>
  <si>
    <t>Receita líquida</t>
  </si>
  <si>
    <t>Resultados Anuais</t>
  </si>
  <si>
    <t>APORTE</t>
  </si>
  <si>
    <t>Número de acessos únicos ao site/mês</t>
  </si>
  <si>
    <t>Telefonia, energia elétrica e demais itens de telecomunicações</t>
  </si>
  <si>
    <t>Assessoria jurídica</t>
  </si>
  <si>
    <t>Demais despesas de comunicação (folder, cartões, publicações)</t>
  </si>
  <si>
    <t>Limpeza e manutenção do escritório</t>
  </si>
  <si>
    <t>equivale à máxima exposição do caixa (mês 15)</t>
  </si>
  <si>
    <t>Investimentos em infraestrutura</t>
  </si>
  <si>
    <t>GASTOS TOTAIS COM SALÁRIOS/BENEFÍCIOS</t>
  </si>
  <si>
    <t>QUANTIDADE DE FUNCIONÁRIOS</t>
  </si>
  <si>
    <t>TOTAL DE FUNCIONÁRIOS</t>
  </si>
  <si>
    <t>TOTAL DE FUNCIONÁRIOS + CONSELHEIROS</t>
  </si>
  <si>
    <t>TIR</t>
  </si>
  <si>
    <t>após 5 anos</t>
  </si>
  <si>
    <t>Pre-money valuation</t>
  </si>
  <si>
    <t>Post-money valuation</t>
  </si>
  <si>
    <t>Contrapartida ao investidor</t>
  </si>
  <si>
    <t>Pesquisa de mercado do projeto WikiBar (site de informações para usuários finais e donos de bares e restaurantes de São Paulo) com bares e restaurantes da cidade de São Paulo</t>
  </si>
  <si>
    <t>Autores: FERNANDA CAMARGO, GUILHERME OTO SULZBACH, HENRY SHIBAYAMA, RODOLFO LOPES) do MBA do PECE/USP, 2010.</t>
  </si>
  <si>
    <t>Pergunta: Que tipo de informações você gostaria de receber para o planejamento estratégico do seu negócio?</t>
  </si>
  <si>
    <t>A: Perfil dos concorrentes que atuam na mesma área</t>
  </si>
  <si>
    <t>B: Tendências de mercado</t>
  </si>
  <si>
    <t>C: Ferramentas de gerenciamento</t>
  </si>
  <si>
    <t>D: Críticas dos clientes sobre o meu restaurante</t>
  </si>
  <si>
    <t>E: Outro(s)</t>
  </si>
  <si>
    <t>F: Nenhuma</t>
  </si>
  <si>
    <t>Pergunta: Quanto você estaria disposto a investir mensalmente para ter acesso a estas informações?</t>
  </si>
  <si>
    <t>A: De $50 a $100 (informações básicas e resumidas em relatório mensal)</t>
  </si>
  <si>
    <t>B: De $100 a $300 (informações específicas e padronizadas em relatório mensal)</t>
  </si>
  <si>
    <t>C: De $301 a $500 (informações específicas e customizadas em relatório mensal)</t>
  </si>
  <si>
    <t>D: Mais de R$500</t>
  </si>
  <si>
    <t>E: Não investiria</t>
  </si>
  <si>
    <r>
      <t>Conclusão para o Tourbr.com</t>
    </r>
    <r>
      <rPr>
        <sz val="11"/>
        <color indexed="8"/>
        <rFont val="Calibri"/>
        <family val="2"/>
      </rPr>
      <t xml:space="preserve">: tendo como referência a pesquisa Wikibar (aonde quase 90% dos estabelecimentos pagariam no mínimo 50 reais para participar de site de informações para usuários finais Wikibar), usaremos como premissa uma mensalidade de 50 reais e consideraremos que apenas 5% da base cadastrada de estabelecimentos vai pagar).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</si>
</sst>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_-* #,##0_-;\-* #,##0_-;_-* &quot;-&quot;??_-;_-@_-"/>
    <numFmt numFmtId="170" formatCode="&quot;R$&quot;\ #,##0.00"/>
  </numFmts>
  <fonts count="38"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Geneva"/>
    </font>
    <font>
      <b/>
      <sz val="14"/>
      <name val="Geneva"/>
    </font>
    <font>
      <b/>
      <sz val="10"/>
      <color indexed="12"/>
      <name val="Arial"/>
      <family val="2"/>
    </font>
    <font>
      <sz val="10"/>
      <name val="Arial"/>
      <family val="2"/>
    </font>
    <font>
      <sz val="11"/>
      <name val="Geneva"/>
    </font>
    <font>
      <b/>
      <sz val="11"/>
      <name val="Geneva"/>
    </font>
    <font>
      <b/>
      <sz val="10"/>
      <name val="Geneva"/>
    </font>
    <font>
      <sz val="10"/>
      <color indexed="18"/>
      <name val="Arial"/>
      <family val="2"/>
    </font>
    <font>
      <b/>
      <sz val="10"/>
      <color indexed="10"/>
      <name val="Arial"/>
      <family val="2"/>
    </font>
    <font>
      <sz val="12"/>
      <name val="Geneva"/>
    </font>
    <font>
      <sz val="9"/>
      <name val="Geneva"/>
    </font>
    <font>
      <b/>
      <sz val="16"/>
      <name val="Geneva"/>
    </font>
    <font>
      <sz val="10"/>
      <name val="Arial"/>
      <family val="2"/>
    </font>
    <font>
      <b/>
      <sz val="9"/>
      <name val="Geneva"/>
    </font>
    <font>
      <b/>
      <sz val="12"/>
      <name val="Geneva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b/>
      <sz val="9"/>
      <color indexed="18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Geneva"/>
    </font>
    <font>
      <b/>
      <sz val="12"/>
      <color indexed="8"/>
      <name val="Calibri"/>
      <family val="2"/>
    </font>
    <font>
      <sz val="9"/>
      <color indexed="9"/>
      <name val="Arial"/>
      <family val="2"/>
    </font>
    <font>
      <sz val="10"/>
      <color indexed="8"/>
      <name val="Calibri"/>
      <family val="2"/>
    </font>
    <font>
      <sz val="12"/>
      <color indexed="8"/>
      <name val="Geneva"/>
    </font>
    <font>
      <sz val="11"/>
      <color indexed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u/>
      <sz val="11"/>
      <name val="Geneva"/>
    </font>
    <font>
      <b/>
      <sz val="10"/>
      <name val="Arial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b/>
      <sz val="11"/>
      <color indexed="8"/>
      <name val="Geneva"/>
    </font>
    <font>
      <sz val="11"/>
      <color indexed="8"/>
      <name val="Geneva"/>
    </font>
  </fonts>
  <fills count="16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</fills>
  <borders count="28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/>
    <xf numFmtId="9" fontId="1" fillId="0" borderId="0" applyFont="0" applyFill="0" applyBorder="0" applyAlignment="0" applyProtection="0"/>
  </cellStyleXfs>
  <cellXfs count="228">
    <xf numFmtId="0" fontId="0" fillId="0" borderId="0" xfId="0"/>
    <xf numFmtId="9" fontId="0" fillId="0" borderId="0" xfId="0" applyNumberForma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5" fillId="0" borderId="0" xfId="0" applyFont="1" applyFill="1" applyBorder="1"/>
    <xf numFmtId="0" fontId="6" fillId="0" borderId="0" xfId="0" applyFont="1" applyFill="1" applyBorder="1"/>
    <xf numFmtId="0" fontId="7" fillId="0" borderId="0" xfId="0" applyFont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10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2" fillId="0" borderId="0" xfId="0" applyFont="1" applyFill="1" applyBorder="1"/>
    <xf numFmtId="0" fontId="2" fillId="3" borderId="0" xfId="0" applyFont="1" applyFill="1" applyBorder="1" applyAlignment="1">
      <alignment horizontal="right"/>
    </xf>
    <xf numFmtId="0" fontId="11" fillId="3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2" fillId="0" borderId="0" xfId="0" applyFont="1"/>
    <xf numFmtId="0" fontId="12" fillId="0" borderId="0" xfId="0" applyFont="1" applyFill="1"/>
    <xf numFmtId="0" fontId="12" fillId="0" borderId="0" xfId="0" applyFont="1" applyFill="1" applyBorder="1"/>
    <xf numFmtId="0" fontId="15" fillId="0" borderId="0" xfId="0" applyFont="1"/>
    <xf numFmtId="0" fontId="19" fillId="0" borderId="0" xfId="4" applyFont="1"/>
    <xf numFmtId="0" fontId="19" fillId="0" borderId="0" xfId="4" applyFont="1" applyFill="1"/>
    <xf numFmtId="0" fontId="19" fillId="0" borderId="0" xfId="4" applyFont="1" applyFill="1" applyBorder="1"/>
    <xf numFmtId="0" fontId="15" fillId="0" borderId="16" xfId="0" applyFont="1" applyFill="1" applyBorder="1"/>
    <xf numFmtId="0" fontId="15" fillId="3" borderId="17" xfId="5" applyFont="1" applyFill="1" applyBorder="1" applyAlignment="1">
      <alignment horizontal="center"/>
    </xf>
    <xf numFmtId="0" fontId="15" fillId="3" borderId="18" xfId="5" applyFont="1" applyFill="1" applyBorder="1" applyAlignment="1">
      <alignment horizontal="center"/>
    </xf>
    <xf numFmtId="0" fontId="15" fillId="0" borderId="0" xfId="0" applyFont="1" applyFill="1" applyBorder="1"/>
    <xf numFmtId="1" fontId="15" fillId="0" borderId="19" xfId="0" applyNumberFormat="1" applyFont="1" applyFill="1" applyBorder="1" applyAlignment="1">
      <alignment horizontal="left"/>
    </xf>
    <xf numFmtId="17" fontId="15" fillId="3" borderId="11" xfId="0" applyNumberFormat="1" applyFont="1" applyFill="1" applyBorder="1" applyAlignment="1">
      <alignment horizontal="center"/>
    </xf>
    <xf numFmtId="17" fontId="15" fillId="3" borderId="20" xfId="0" applyNumberFormat="1" applyFont="1" applyFill="1" applyBorder="1" applyAlignment="1">
      <alignment horizontal="center"/>
    </xf>
    <xf numFmtId="17" fontId="15" fillId="3" borderId="21" xfId="0" applyNumberFormat="1" applyFont="1" applyFill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7" fillId="2" borderId="16" xfId="4" applyFont="1" applyFill="1" applyBorder="1"/>
    <xf numFmtId="0" fontId="19" fillId="0" borderId="22" xfId="4" applyFont="1" applyBorder="1"/>
    <xf numFmtId="0" fontId="19" fillId="0" borderId="23" xfId="4" applyFont="1" applyBorder="1"/>
    <xf numFmtId="0" fontId="17" fillId="6" borderId="0" xfId="4" applyFont="1" applyFill="1" applyBorder="1" applyAlignment="1">
      <alignment horizontal="right"/>
    </xf>
    <xf numFmtId="164" fontId="20" fillId="0" borderId="5" xfId="4" applyNumberFormat="1" applyFont="1" applyFill="1" applyBorder="1" applyAlignment="1">
      <alignment horizontal="center"/>
    </xf>
    <xf numFmtId="0" fontId="19" fillId="3" borderId="0" xfId="4" applyFont="1" applyFill="1" applyBorder="1" applyAlignment="1">
      <alignment horizontal="right"/>
    </xf>
    <xf numFmtId="0" fontId="19" fillId="0" borderId="0" xfId="4" applyFont="1" applyFill="1" applyBorder="1" applyAlignment="1"/>
    <xf numFmtId="0" fontId="18" fillId="2" borderId="0" xfId="4" applyFont="1" applyFill="1" applyBorder="1" applyAlignment="1">
      <alignment horizontal="left"/>
    </xf>
    <xf numFmtId="0" fontId="19" fillId="0" borderId="0" xfId="4" applyFont="1" applyFill="1" applyBorder="1" applyAlignment="1">
      <alignment horizontal="center"/>
    </xf>
    <xf numFmtId="0" fontId="19" fillId="0" borderId="5" xfId="4" applyFont="1" applyFill="1" applyBorder="1"/>
    <xf numFmtId="166" fontId="21" fillId="0" borderId="5" xfId="2" applyNumberFormat="1" applyFont="1" applyFill="1" applyBorder="1" applyAlignment="1">
      <alignment horizontal="center"/>
    </xf>
    <xf numFmtId="166" fontId="21" fillId="0" borderId="5" xfId="4" applyNumberFormat="1" applyFont="1" applyFill="1" applyBorder="1"/>
    <xf numFmtId="0" fontId="0" fillId="0" borderId="0" xfId="0" applyBorder="1"/>
    <xf numFmtId="0" fontId="0" fillId="0" borderId="0" xfId="0" applyFill="1" applyBorder="1"/>
    <xf numFmtId="0" fontId="0" fillId="0" borderId="5" xfId="0" applyBorder="1"/>
    <xf numFmtId="0" fontId="16" fillId="2" borderId="1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4" xfId="0" applyFont="1" applyFill="1" applyBorder="1"/>
    <xf numFmtId="0" fontId="16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2" fillId="5" borderId="0" xfId="0" applyFont="1" applyFill="1"/>
    <xf numFmtId="165" fontId="0" fillId="0" borderId="5" xfId="1" applyFont="1" applyBorder="1"/>
    <xf numFmtId="165" fontId="22" fillId="5" borderId="0" xfId="1" applyFont="1" applyFill="1"/>
    <xf numFmtId="165" fontId="22" fillId="5" borderId="8" xfId="1" applyFont="1" applyFill="1" applyBorder="1"/>
    <xf numFmtId="0" fontId="8" fillId="5" borderId="7" xfId="0" applyFont="1" applyFill="1" applyBorder="1"/>
    <xf numFmtId="167" fontId="0" fillId="0" borderId="0" xfId="0" applyNumberFormat="1"/>
    <xf numFmtId="166" fontId="17" fillId="5" borderId="0" xfId="4" applyNumberFormat="1" applyFont="1" applyFill="1"/>
    <xf numFmtId="0" fontId="0" fillId="0" borderId="0" xfId="0" applyFill="1"/>
    <xf numFmtId="0" fontId="8" fillId="5" borderId="14" xfId="0" applyFont="1" applyFill="1" applyBorder="1" applyAlignment="1">
      <alignment horizontal="left"/>
    </xf>
    <xf numFmtId="165" fontId="22" fillId="5" borderId="15" xfId="1" applyFont="1" applyFill="1" applyBorder="1"/>
    <xf numFmtId="0" fontId="2" fillId="3" borderId="9" xfId="0" applyFont="1" applyFill="1" applyBorder="1"/>
    <xf numFmtId="165" fontId="0" fillId="0" borderId="10" xfId="1" applyFont="1" applyBorder="1"/>
    <xf numFmtId="2" fontId="0" fillId="0" borderId="5" xfId="1" applyNumberFormat="1" applyFont="1" applyBorder="1"/>
    <xf numFmtId="166" fontId="21" fillId="0" borderId="0" xfId="2" applyNumberFormat="1" applyFont="1" applyFill="1" applyBorder="1" applyAlignment="1">
      <alignment horizontal="center"/>
    </xf>
    <xf numFmtId="0" fontId="17" fillId="5" borderId="0" xfId="4" applyFont="1" applyFill="1"/>
    <xf numFmtId="0" fontId="19" fillId="5" borderId="0" xfId="4" applyFont="1" applyFill="1" applyBorder="1"/>
    <xf numFmtId="164" fontId="19" fillId="0" borderId="5" xfId="4" applyNumberFormat="1" applyFont="1" applyFill="1" applyBorder="1"/>
    <xf numFmtId="0" fontId="25" fillId="0" borderId="0" xfId="4" applyFont="1"/>
    <xf numFmtId="0" fontId="16" fillId="2" borderId="12" xfId="0" applyFont="1" applyFill="1" applyBorder="1" applyAlignment="1">
      <alignment horizontal="left"/>
    </xf>
    <xf numFmtId="0" fontId="16" fillId="2" borderId="13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left"/>
    </xf>
    <xf numFmtId="165" fontId="0" fillId="0" borderId="6" xfId="1" applyFont="1" applyBorder="1"/>
    <xf numFmtId="0" fontId="26" fillId="0" borderId="0" xfId="0" applyFont="1" applyFill="1" applyBorder="1"/>
    <xf numFmtId="0" fontId="16" fillId="2" borderId="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5" fontId="0" fillId="0" borderId="0" xfId="1" applyFont="1" applyFill="1" applyBorder="1"/>
    <xf numFmtId="165" fontId="22" fillId="0" borderId="0" xfId="1" applyFont="1" applyFill="1" applyBorder="1"/>
    <xf numFmtId="0" fontId="24" fillId="8" borderId="0" xfId="0" applyFont="1" applyFill="1"/>
    <xf numFmtId="0" fontId="0" fillId="9" borderId="0" xfId="0" applyFill="1"/>
    <xf numFmtId="0" fontId="22" fillId="4" borderId="0" xfId="0" applyFont="1" applyFill="1"/>
    <xf numFmtId="0" fontId="0" fillId="4" borderId="0" xfId="0" applyFill="1"/>
    <xf numFmtId="165" fontId="0" fillId="0" borderId="0" xfId="0" applyNumberFormat="1"/>
    <xf numFmtId="165" fontId="22" fillId="4" borderId="0" xfId="1" applyFont="1" applyFill="1"/>
    <xf numFmtId="0" fontId="0" fillId="0" borderId="0" xfId="0" applyNumberFormat="1"/>
    <xf numFmtId="1" fontId="0" fillId="0" borderId="0" xfId="0" applyNumberFormat="1"/>
    <xf numFmtId="168" fontId="0" fillId="0" borderId="0" xfId="1" applyNumberFormat="1" applyFont="1"/>
    <xf numFmtId="168" fontId="0" fillId="0" borderId="0" xfId="0" applyNumberFormat="1"/>
    <xf numFmtId="169" fontId="0" fillId="0" borderId="0" xfId="0" applyNumberFormat="1"/>
    <xf numFmtId="9" fontId="0" fillId="0" borderId="0" xfId="6" applyFont="1"/>
    <xf numFmtId="1" fontId="0" fillId="0" borderId="0" xfId="0" applyNumberFormat="1" applyFill="1"/>
    <xf numFmtId="0" fontId="22" fillId="11" borderId="0" xfId="0" applyFont="1" applyFill="1"/>
    <xf numFmtId="0" fontId="22" fillId="11" borderId="0" xfId="0" applyFont="1" applyFill="1" applyAlignment="1">
      <alignment horizontal="center"/>
    </xf>
    <xf numFmtId="0" fontId="22" fillId="0" borderId="0" xfId="0" applyFont="1"/>
    <xf numFmtId="165" fontId="0" fillId="0" borderId="0" xfId="1" applyFont="1" applyAlignment="1">
      <alignment horizontal="right" wrapText="1"/>
    </xf>
    <xf numFmtId="0" fontId="31" fillId="0" borderId="0" xfId="0" applyFont="1" applyFill="1" applyBorder="1"/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  <xf numFmtId="0" fontId="3" fillId="11" borderId="0" xfId="0" applyFont="1" applyFill="1" applyBorder="1"/>
    <xf numFmtId="0" fontId="2" fillId="11" borderId="0" xfId="0" applyFont="1" applyFill="1" applyBorder="1" applyAlignment="1">
      <alignment horizontal="left"/>
    </xf>
    <xf numFmtId="0" fontId="7" fillId="11" borderId="0" xfId="0" applyFont="1" applyFill="1" applyBorder="1" applyAlignment="1">
      <alignment horizontal="left"/>
    </xf>
    <xf numFmtId="0" fontId="22" fillId="0" borderId="0" xfId="0" applyFont="1" applyFill="1"/>
    <xf numFmtId="165" fontId="22" fillId="0" borderId="0" xfId="1" applyFont="1" applyFill="1"/>
    <xf numFmtId="169" fontId="0" fillId="0" borderId="0" xfId="0" applyNumberFormat="1" applyFill="1"/>
    <xf numFmtId="43" fontId="0" fillId="0" borderId="0" xfId="0" applyNumberFormat="1" applyFill="1"/>
    <xf numFmtId="0" fontId="34" fillId="0" borderId="0" xfId="0" applyFont="1" applyFill="1"/>
    <xf numFmtId="43" fontId="34" fillId="0" borderId="0" xfId="0" applyNumberFormat="1" applyFont="1" applyFill="1"/>
    <xf numFmtId="0" fontId="16" fillId="2" borderId="25" xfId="0" applyFont="1" applyFill="1" applyBorder="1" applyAlignment="1">
      <alignment horizontal="center" vertical="center"/>
    </xf>
    <xf numFmtId="0" fontId="0" fillId="0" borderId="24" xfId="0" applyBorder="1"/>
    <xf numFmtId="0" fontId="22" fillId="0" borderId="0" xfId="0" applyFont="1" applyFill="1" applyBorder="1"/>
    <xf numFmtId="0" fontId="23" fillId="10" borderId="5" xfId="0" applyFont="1" applyFill="1" applyBorder="1"/>
    <xf numFmtId="165" fontId="22" fillId="10" borderId="5" xfId="1" applyFont="1" applyFill="1" applyBorder="1"/>
    <xf numFmtId="0" fontId="0" fillId="0" borderId="0" xfId="0" applyAlignment="1">
      <alignment horizontal="left"/>
    </xf>
    <xf numFmtId="165" fontId="0" fillId="0" borderId="5" xfId="0" applyNumberFormat="1" applyBorder="1"/>
    <xf numFmtId="0" fontId="22" fillId="11" borderId="5" xfId="0" applyFont="1" applyFill="1" applyBorder="1" applyAlignment="1">
      <alignment horizontal="left"/>
    </xf>
    <xf numFmtId="0" fontId="22" fillId="11" borderId="5" xfId="0" applyFont="1" applyFill="1" applyBorder="1" applyAlignment="1">
      <alignment horizontal="center"/>
    </xf>
    <xf numFmtId="165" fontId="0" fillId="10" borderId="5" xfId="0" applyNumberFormat="1" applyFill="1" applyBorder="1" applyAlignment="1">
      <alignment horizontal="right"/>
    </xf>
    <xf numFmtId="0" fontId="22" fillId="10" borderId="5" xfId="0" applyFont="1" applyFill="1" applyBorder="1"/>
    <xf numFmtId="164" fontId="20" fillId="0" borderId="6" xfId="4" applyNumberFormat="1" applyFont="1" applyFill="1" applyBorder="1" applyAlignment="1">
      <alignment horizontal="center"/>
    </xf>
    <xf numFmtId="0" fontId="19" fillId="0" borderId="6" xfId="4" applyFont="1" applyFill="1" applyBorder="1"/>
    <xf numFmtId="166" fontId="21" fillId="0" borderId="6" xfId="2" applyNumberFormat="1" applyFont="1" applyFill="1" applyBorder="1" applyAlignment="1">
      <alignment horizontal="center"/>
    </xf>
    <xf numFmtId="164" fontId="19" fillId="0" borderId="6" xfId="4" applyNumberFormat="1" applyFont="1" applyFill="1" applyBorder="1"/>
    <xf numFmtId="0" fontId="15" fillId="0" borderId="0" xfId="5" applyFont="1" applyFill="1" applyBorder="1" applyAlignment="1">
      <alignment horizontal="center"/>
    </xf>
    <xf numFmtId="17" fontId="15" fillId="0" borderId="0" xfId="0" applyNumberFormat="1" applyFont="1" applyFill="1" applyBorder="1" applyAlignment="1">
      <alignment horizontal="center"/>
    </xf>
    <xf numFmtId="164" fontId="20" fillId="0" borderId="0" xfId="4" applyNumberFormat="1" applyFont="1" applyFill="1" applyBorder="1" applyAlignment="1">
      <alignment horizontal="center"/>
    </xf>
    <xf numFmtId="166" fontId="21" fillId="0" borderId="0" xfId="4" applyNumberFormat="1" applyFont="1" applyFill="1" applyBorder="1"/>
    <xf numFmtId="164" fontId="19" fillId="0" borderId="0" xfId="4" applyNumberFormat="1" applyFont="1" applyFill="1" applyBorder="1"/>
    <xf numFmtId="166" fontId="17" fillId="0" borderId="0" xfId="4" applyNumberFormat="1" applyFont="1" applyFill="1" applyBorder="1"/>
    <xf numFmtId="0" fontId="8" fillId="11" borderId="0" xfId="0" applyFont="1" applyFill="1" applyBorder="1" applyAlignment="1">
      <alignment horizontal="left"/>
    </xf>
    <xf numFmtId="0" fontId="22" fillId="11" borderId="0" xfId="0" applyFont="1" applyFill="1" applyAlignment="1">
      <alignment horizontal="left"/>
    </xf>
    <xf numFmtId="10" fontId="34" fillId="0" borderId="0" xfId="6" applyNumberFormat="1" applyFont="1" applyFill="1" applyAlignment="1">
      <alignment horizontal="right"/>
    </xf>
    <xf numFmtId="9" fontId="34" fillId="0" borderId="0" xfId="0" applyNumberFormat="1" applyFont="1" applyFill="1"/>
    <xf numFmtId="10" fontId="34" fillId="0" borderId="0" xfId="0" applyNumberFormat="1" applyFont="1" applyFill="1"/>
    <xf numFmtId="0" fontId="34" fillId="13" borderId="0" xfId="0" applyFont="1" applyFill="1"/>
    <xf numFmtId="0" fontId="0" fillId="13" borderId="0" xfId="0" applyFill="1"/>
    <xf numFmtId="0" fontId="0" fillId="13" borderId="0" xfId="0" applyNumberFormat="1" applyFill="1"/>
    <xf numFmtId="0" fontId="9" fillId="0" borderId="0" xfId="0" applyFont="1" applyFill="1" applyBorder="1"/>
    <xf numFmtId="0" fontId="2" fillId="3" borderId="26" xfId="0" applyFont="1" applyFill="1" applyBorder="1" applyAlignment="1">
      <alignment horizontal="left"/>
    </xf>
    <xf numFmtId="165" fontId="0" fillId="0" borderId="27" xfId="1" applyFont="1" applyBorder="1"/>
    <xf numFmtId="0" fontId="3" fillId="10" borderId="0" xfId="0" applyFont="1" applyFill="1" applyBorder="1"/>
    <xf numFmtId="0" fontId="13" fillId="11" borderId="0" xfId="0" applyFont="1" applyFill="1"/>
    <xf numFmtId="0" fontId="35" fillId="0" borderId="0" xfId="0" applyFont="1" applyFill="1" applyBorder="1"/>
    <xf numFmtId="0" fontId="35" fillId="0" borderId="0" xfId="0" applyFont="1" applyBorder="1"/>
    <xf numFmtId="0" fontId="2" fillId="0" borderId="0" xfId="0" applyFont="1" applyFill="1" applyBorder="1" applyAlignment="1">
      <alignment horizontal="center" vertical="center"/>
    </xf>
    <xf numFmtId="167" fontId="0" fillId="0" borderId="0" xfId="0" applyNumberFormat="1" applyFill="1"/>
    <xf numFmtId="167" fontId="0" fillId="0" borderId="0" xfId="0" applyNumberFormat="1" applyFill="1" applyBorder="1"/>
    <xf numFmtId="0" fontId="8" fillId="0" borderId="0" xfId="0" applyFont="1" applyFill="1" applyBorder="1" applyAlignment="1">
      <alignment horizontal="center" vertical="center"/>
    </xf>
    <xf numFmtId="167" fontId="24" fillId="0" borderId="0" xfId="0" applyNumberFormat="1" applyFont="1" applyFill="1"/>
    <xf numFmtId="0" fontId="24" fillId="0" borderId="0" xfId="0" applyFont="1" applyFill="1"/>
    <xf numFmtId="0" fontId="16" fillId="10" borderId="0" xfId="0" applyFont="1" applyFill="1" applyBorder="1" applyAlignment="1">
      <alignment horizontal="left"/>
    </xf>
    <xf numFmtId="0" fontId="8" fillId="10" borderId="0" xfId="0" applyFont="1" applyFill="1" applyBorder="1" applyAlignment="1">
      <alignment horizontal="center" vertical="center"/>
    </xf>
    <xf numFmtId="0" fontId="11" fillId="14" borderId="0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165" fontId="28" fillId="0" borderId="0" xfId="0" applyNumberFormat="1" applyFont="1" applyFill="1"/>
    <xf numFmtId="167" fontId="22" fillId="0" borderId="0" xfId="0" applyNumberFormat="1" applyFont="1" applyFill="1"/>
    <xf numFmtId="0" fontId="22" fillId="9" borderId="0" xfId="0" applyFont="1" applyFill="1"/>
    <xf numFmtId="167" fontId="36" fillId="10" borderId="0" xfId="0" applyNumberFormat="1" applyFont="1" applyFill="1"/>
    <xf numFmtId="0" fontId="37" fillId="0" borderId="0" xfId="0" applyFont="1"/>
    <xf numFmtId="167" fontId="36" fillId="8" borderId="0" xfId="0" applyNumberFormat="1" applyFont="1" applyFill="1"/>
    <xf numFmtId="2" fontId="6" fillId="0" borderId="0" xfId="1" applyNumberFormat="1" applyFont="1" applyFill="1" applyBorder="1" applyAlignment="1">
      <alignment horizontal="right" vertical="center"/>
    </xf>
    <xf numFmtId="2" fontId="37" fillId="0" borderId="0" xfId="1" applyNumberFormat="1" applyFont="1" applyFill="1" applyBorder="1" applyAlignment="1">
      <alignment horizontal="right"/>
    </xf>
    <xf numFmtId="2" fontId="37" fillId="10" borderId="0" xfId="1" applyNumberFormat="1" applyFont="1" applyFill="1"/>
    <xf numFmtId="2" fontId="37" fillId="0" borderId="0" xfId="0" applyNumberFormat="1" applyFont="1" applyFill="1"/>
    <xf numFmtId="2" fontId="37" fillId="10" borderId="0" xfId="0" applyNumberFormat="1" applyFont="1" applyFill="1"/>
    <xf numFmtId="2" fontId="37" fillId="0" borderId="0" xfId="0" applyNumberFormat="1" applyFont="1"/>
    <xf numFmtId="9" fontId="37" fillId="0" borderId="0" xfId="0" applyNumberFormat="1" applyFont="1"/>
    <xf numFmtId="0" fontId="27" fillId="0" borderId="0" xfId="0" applyFont="1" applyAlignment="1">
      <alignment horizontal="right"/>
    </xf>
    <xf numFmtId="165" fontId="27" fillId="0" borderId="0" xfId="0" applyNumberFormat="1" applyFont="1"/>
    <xf numFmtId="0" fontId="23" fillId="11" borderId="0" xfId="0" applyFont="1" applyFill="1"/>
    <xf numFmtId="0" fontId="23" fillId="0" borderId="0" xfId="0" applyFont="1"/>
    <xf numFmtId="0" fontId="23" fillId="11" borderId="0" xfId="0" applyFont="1" applyFill="1" applyAlignment="1">
      <alignment horizontal="center"/>
    </xf>
    <xf numFmtId="9" fontId="27" fillId="0" borderId="0" xfId="0" applyNumberFormat="1" applyFont="1" applyAlignment="1">
      <alignment horizontal="right"/>
    </xf>
    <xf numFmtId="170" fontId="27" fillId="0" borderId="0" xfId="0" applyNumberFormat="1" applyFont="1" applyAlignment="1">
      <alignment horizontal="right"/>
    </xf>
    <xf numFmtId="0" fontId="23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167" fontId="36" fillId="12" borderId="0" xfId="0" applyNumberFormat="1" applyFont="1" applyFill="1"/>
    <xf numFmtId="0" fontId="23" fillId="8" borderId="0" xfId="0" applyFont="1" applyFill="1"/>
    <xf numFmtId="0" fontId="22" fillId="0" borderId="0" xfId="0" applyFont="1" applyFill="1" applyAlignment="1">
      <alignment horizontal="center"/>
    </xf>
    <xf numFmtId="9" fontId="0" fillId="0" borderId="0" xfId="0" applyNumberFormat="1" applyFill="1"/>
    <xf numFmtId="165" fontId="0" fillId="0" borderId="0" xfId="1" applyFont="1" applyFill="1" applyAlignment="1">
      <alignment horizontal="right" wrapText="1"/>
    </xf>
    <xf numFmtId="168" fontId="0" fillId="0" borderId="0" xfId="0" applyNumberFormat="1" applyFill="1"/>
    <xf numFmtId="9" fontId="0" fillId="0" borderId="0" xfId="6" applyFont="1" applyFill="1"/>
    <xf numFmtId="168" fontId="0" fillId="0" borderId="0" xfId="1" applyNumberFormat="1" applyFont="1" applyFill="1"/>
    <xf numFmtId="0" fontId="2" fillId="3" borderId="26" xfId="0" applyFont="1" applyFill="1" applyBorder="1"/>
    <xf numFmtId="0" fontId="37" fillId="0" borderId="0" xfId="0" applyFont="1" applyFill="1" applyBorder="1" applyAlignment="1">
      <alignment horizontal="left" indent="1"/>
    </xf>
    <xf numFmtId="0" fontId="36" fillId="11" borderId="0" xfId="0" applyFont="1" applyFill="1"/>
    <xf numFmtId="0" fontId="36" fillId="11" borderId="0" xfId="0" applyFont="1" applyFill="1" applyAlignment="1">
      <alignment horizontal="center"/>
    </xf>
    <xf numFmtId="0" fontId="8" fillId="15" borderId="7" xfId="0" applyFont="1" applyFill="1" applyBorder="1" applyAlignment="1">
      <alignment horizontal="left"/>
    </xf>
    <xf numFmtId="165" fontId="37" fillId="0" borderId="0" xfId="0" applyNumberFormat="1" applyFont="1"/>
    <xf numFmtId="0" fontId="36" fillId="15" borderId="0" xfId="0" applyFont="1" applyFill="1"/>
    <xf numFmtId="165" fontId="36" fillId="15" borderId="0" xfId="0" applyNumberFormat="1" applyFont="1" applyFill="1"/>
    <xf numFmtId="0" fontId="2" fillId="0" borderId="0" xfId="0" applyFont="1" applyFill="1" applyBorder="1" applyAlignment="1">
      <alignment horizontal="left"/>
    </xf>
    <xf numFmtId="0" fontId="8" fillId="5" borderId="0" xfId="0" applyFont="1" applyFill="1" applyBorder="1"/>
    <xf numFmtId="2" fontId="0" fillId="0" borderId="0" xfId="0" applyNumberFormat="1"/>
    <xf numFmtId="0" fontId="16" fillId="11" borderId="0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center" vertical="center"/>
    </xf>
    <xf numFmtId="0" fontId="23" fillId="11" borderId="0" xfId="0" applyFont="1" applyFill="1" applyBorder="1" applyAlignment="1">
      <alignment horizontal="center" vertical="center"/>
    </xf>
    <xf numFmtId="165" fontId="0" fillId="0" borderId="0" xfId="1" applyFont="1" applyBorder="1"/>
    <xf numFmtId="0" fontId="8" fillId="5" borderId="0" xfId="0" applyFont="1" applyFill="1" applyBorder="1" applyAlignment="1">
      <alignment horizontal="left"/>
    </xf>
    <xf numFmtId="165" fontId="22" fillId="5" borderId="0" xfId="1" applyFont="1" applyFill="1" applyBorder="1"/>
    <xf numFmtId="165" fontId="22" fillId="15" borderId="0" xfId="0" applyNumberFormat="1" applyFont="1" applyFill="1"/>
    <xf numFmtId="0" fontId="18" fillId="11" borderId="0" xfId="4" applyFont="1" applyFill="1" applyBorder="1" applyAlignment="1">
      <alignment horizontal="left"/>
    </xf>
    <xf numFmtId="0" fontId="17" fillId="11" borderId="0" xfId="4" applyFont="1" applyFill="1" applyBorder="1" applyAlignment="1">
      <alignment horizontal="center"/>
    </xf>
    <xf numFmtId="0" fontId="17" fillId="0" borderId="0" xfId="4" applyFont="1" applyFill="1" applyBorder="1" applyAlignment="1">
      <alignment horizontal="right"/>
    </xf>
    <xf numFmtId="0" fontId="19" fillId="0" borderId="0" xfId="4" applyFont="1" applyFill="1" applyBorder="1" applyAlignment="1">
      <alignment horizontal="right"/>
    </xf>
    <xf numFmtId="0" fontId="17" fillId="5" borderId="0" xfId="4" applyFont="1" applyFill="1" applyBorder="1"/>
    <xf numFmtId="166" fontId="17" fillId="5" borderId="0" xfId="4" applyNumberFormat="1" applyFont="1" applyFill="1" applyBorder="1"/>
    <xf numFmtId="0" fontId="17" fillId="15" borderId="0" xfId="4" applyFont="1" applyFill="1" applyBorder="1" applyAlignment="1">
      <alignment horizontal="left"/>
    </xf>
    <xf numFmtId="164" fontId="17" fillId="5" borderId="0" xfId="4" applyNumberFormat="1" applyFont="1" applyFill="1" applyBorder="1"/>
    <xf numFmtId="164" fontId="17" fillId="15" borderId="0" xfId="4" applyNumberFormat="1" applyFont="1" applyFill="1" applyBorder="1" applyAlignment="1">
      <alignment horizontal="center"/>
    </xf>
    <xf numFmtId="0" fontId="23" fillId="15" borderId="0" xfId="0" applyFont="1" applyFill="1"/>
    <xf numFmtId="0" fontId="16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7" fontId="37" fillId="0" borderId="0" xfId="0" applyNumberFormat="1" applyFont="1" applyAlignment="1">
      <alignment horizontal="right"/>
    </xf>
    <xf numFmtId="167" fontId="23" fillId="15" borderId="0" xfId="0" applyNumberFormat="1" applyFont="1" applyFill="1" applyAlignment="1">
      <alignment horizontal="right"/>
    </xf>
    <xf numFmtId="0" fontId="37" fillId="14" borderId="0" xfId="0" applyFont="1" applyFill="1" applyBorder="1" applyAlignment="1">
      <alignment horizontal="left" indent="1"/>
    </xf>
    <xf numFmtId="9" fontId="37" fillId="0" borderId="0" xfId="6" applyFont="1" applyFill="1"/>
    <xf numFmtId="0" fontId="27" fillId="0" borderId="0" xfId="0" applyFont="1" applyFill="1" applyAlignment="1">
      <alignment horizontal="right"/>
    </xf>
    <xf numFmtId="167" fontId="23" fillId="0" borderId="0" xfId="0" applyNumberFormat="1" applyFont="1" applyFill="1" applyAlignment="1">
      <alignment horizontal="right"/>
    </xf>
    <xf numFmtId="170" fontId="27" fillId="0" borderId="0" xfId="6" applyNumberFormat="1" applyFont="1"/>
    <xf numFmtId="170" fontId="27" fillId="0" borderId="0" xfId="0" applyNumberFormat="1" applyFont="1"/>
    <xf numFmtId="9" fontId="27" fillId="0" borderId="0" xfId="6" applyFont="1"/>
    <xf numFmtId="0" fontId="0" fillId="0" borderId="0" xfId="0" applyAlignment="1">
      <alignment wrapText="1"/>
    </xf>
    <xf numFmtId="0" fontId="22" fillId="0" borderId="0" xfId="0" applyFont="1" applyAlignment="1">
      <alignment horizontal="left" wrapText="1"/>
    </xf>
    <xf numFmtId="0" fontId="22" fillId="0" borderId="0" xfId="0" applyFont="1" applyAlignment="1">
      <alignment wrapText="1"/>
    </xf>
    <xf numFmtId="0" fontId="32" fillId="0" borderId="0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horizontal="left"/>
    </xf>
  </cellXfs>
  <cellStyles count="7">
    <cellStyle name="Moeda" xfId="2" builtinId="4"/>
    <cellStyle name="Normal" xfId="0" builtinId="0"/>
    <cellStyle name="Normal 2" xfId="3"/>
    <cellStyle name="Normal_MS_FM02" xfId="4"/>
    <cellStyle name="Normal_Receita ik2" xfId="5"/>
    <cellStyle name="Porcentagem" xfId="6" builtinId="5"/>
    <cellStyle name="Vírgula" xfId="1" builtinId="3"/>
  </cellStyles>
  <dxfs count="0"/>
  <tableStyles count="0" defaultTableStyle="TableStyleMedium9"/>
  <colors>
    <mruColors>
      <color rgb="FFFFCC99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Receita!$A$31</c:f>
              <c:strCache>
                <c:ptCount val="1"/>
                <c:pt idx="0">
                  <c:v>Assinaturas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Receita!$B$31:$F$31</c:f>
              <c:numCache>
                <c:formatCode>_(* #,##0.00_);_(* \(#,##0.00\);_(* "-"??_);_(@_)</c:formatCode>
                <c:ptCount val="5"/>
                <c:pt idx="0">
                  <c:v>429000</c:v>
                </c:pt>
                <c:pt idx="1">
                  <c:v>1221000</c:v>
                </c:pt>
                <c:pt idx="2">
                  <c:v>1912350</c:v>
                </c:pt>
                <c:pt idx="3">
                  <c:v>2664750</c:v>
                </c:pt>
                <c:pt idx="4">
                  <c:v>3417150</c:v>
                </c:pt>
              </c:numCache>
            </c:numRef>
          </c:val>
        </c:ser>
        <c:ser>
          <c:idx val="1"/>
          <c:order val="1"/>
          <c:tx>
            <c:strRef>
              <c:f>Receita!$A$32</c:f>
              <c:strCache>
                <c:ptCount val="1"/>
                <c:pt idx="0">
                  <c:v>E-commerce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Receita!$B$32:$F$32</c:f>
              <c:numCache>
                <c:formatCode>_(* #,##0.00_);_(* \(#,##0.00\);_(* "-"??_);_(@_)</c:formatCode>
                <c:ptCount val="5"/>
                <c:pt idx="0">
                  <c:v>6000</c:v>
                </c:pt>
                <c:pt idx="1">
                  <c:v>23040</c:v>
                </c:pt>
                <c:pt idx="2">
                  <c:v>46080</c:v>
                </c:pt>
                <c:pt idx="3">
                  <c:v>74880</c:v>
                </c:pt>
                <c:pt idx="4">
                  <c:v>115200</c:v>
                </c:pt>
              </c:numCache>
            </c:numRef>
          </c:val>
        </c:ser>
        <c:ser>
          <c:idx val="2"/>
          <c:order val="2"/>
          <c:tx>
            <c:strRef>
              <c:f>Receita!$A$33</c:f>
              <c:strCache>
                <c:ptCount val="1"/>
                <c:pt idx="0">
                  <c:v>Email mkt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Receita!$B$33:$F$33</c:f>
              <c:numCache>
                <c:formatCode>_(* #,##0.00_);_(* \(#,##0.00\);_(* "-"??_);_(@_)</c:formatCode>
                <c:ptCount val="5"/>
                <c:pt idx="0">
                  <c:v>128000.00000000001</c:v>
                </c:pt>
                <c:pt idx="1">
                  <c:v>282763.63636363629</c:v>
                </c:pt>
                <c:pt idx="2">
                  <c:v>491985.45454545465</c:v>
                </c:pt>
                <c:pt idx="3">
                  <c:v>817570.90909090883</c:v>
                </c:pt>
                <c:pt idx="4">
                  <c:v>1271127.2727272727</c:v>
                </c:pt>
              </c:numCache>
            </c:numRef>
          </c:val>
        </c:ser>
        <c:ser>
          <c:idx val="3"/>
          <c:order val="3"/>
          <c:tx>
            <c:strRef>
              <c:f>Receita!$A$34</c:f>
              <c:strCache>
                <c:ptCount val="1"/>
                <c:pt idx="0">
                  <c:v>Guia Local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Receita!$B$34:$F$34</c:f>
              <c:numCache>
                <c:formatCode>_(* #,##0.00_);_(* \(#,##0.00\);_(* "-"??_);_(@_)</c:formatCode>
                <c:ptCount val="5"/>
                <c:pt idx="0">
                  <c:v>0</c:v>
                </c:pt>
                <c:pt idx="1">
                  <c:v>26400</c:v>
                </c:pt>
                <c:pt idx="2">
                  <c:v>37620</c:v>
                </c:pt>
                <c:pt idx="3">
                  <c:v>48279</c:v>
                </c:pt>
                <c:pt idx="4">
                  <c:v>58405.049999999996</c:v>
                </c:pt>
              </c:numCache>
            </c:numRef>
          </c:val>
        </c:ser>
        <c:ser>
          <c:idx val="4"/>
          <c:order val="4"/>
          <c:tx>
            <c:strRef>
              <c:f>Receita!$A$35</c:f>
              <c:strCache>
                <c:ptCount val="1"/>
                <c:pt idx="0">
                  <c:v>Publicidade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Receita!$B$35:$F$35</c:f>
              <c:numCache>
                <c:formatCode>_(* #,##0.00_);_(* \(#,##0.00\);_(* "-"??_);_(@_)</c:formatCode>
                <c:ptCount val="5"/>
                <c:pt idx="0">
                  <c:v>143999.99999999997</c:v>
                </c:pt>
                <c:pt idx="1">
                  <c:v>290181.81818181812</c:v>
                </c:pt>
                <c:pt idx="2">
                  <c:v>392290.90909090894</c:v>
                </c:pt>
                <c:pt idx="3">
                  <c:v>610472.72727272741</c:v>
                </c:pt>
                <c:pt idx="4">
                  <c:v>1133890.9090909089</c:v>
                </c:pt>
              </c:numCache>
            </c:numRef>
          </c:val>
        </c:ser>
        <c:ser>
          <c:idx val="5"/>
          <c:order val="5"/>
          <c:tx>
            <c:strRef>
              <c:f>Receita!$A$36</c:f>
              <c:strCache>
                <c:ptCount val="1"/>
                <c:pt idx="0">
                  <c:v>Relatórios de mercado</c:v>
                </c:pt>
              </c:strCache>
            </c:strRef>
          </c:tx>
          <c:invertIfNegative val="0"/>
          <c:cat>
            <c:strRef>
              <c:f>Receita!$B$30:$F$30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Receita!$B$36:$F$36</c:f>
              <c:numCache>
                <c:formatCode>_(* #,##0.00_);_(* \(#,##0.00\);_(* "-"??_);_(@_)</c:formatCode>
                <c:ptCount val="5"/>
                <c:pt idx="0">
                  <c:v>26400.000000000004</c:v>
                </c:pt>
                <c:pt idx="1">
                  <c:v>52800.000000000007</c:v>
                </c:pt>
                <c:pt idx="2">
                  <c:v>75240</c:v>
                </c:pt>
                <c:pt idx="3">
                  <c:v>96558</c:v>
                </c:pt>
                <c:pt idx="4">
                  <c:v>116810.10000000002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604544"/>
        <c:axId val="83935808"/>
      </c:barChart>
      <c:catAx>
        <c:axId val="82604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pt-BR"/>
          </a:p>
        </c:txPr>
        <c:crossAx val="83935808"/>
        <c:crosses val="autoZero"/>
        <c:auto val="1"/>
        <c:lblAlgn val="ctr"/>
        <c:lblOffset val="100"/>
        <c:noMultiLvlLbl val="0"/>
      </c:catAx>
      <c:valAx>
        <c:axId val="83935808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pt-BR"/>
          </a:p>
        </c:txPr>
        <c:crossAx val="8260454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1500" baseline="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58" footer="0.3149606200000005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lang="pt-BR"/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8669583000132524E-2"/>
          <c:y val="0.16318796918637404"/>
          <c:w val="0.88913489400119405"/>
          <c:h val="0.79506696615221617"/>
        </c:manualLayout>
      </c:layout>
      <c:lineChart>
        <c:grouping val="standard"/>
        <c:varyColors val="0"/>
        <c:ser>
          <c:idx val="0"/>
          <c:order val="0"/>
          <c:tx>
            <c:strRef>
              <c:f>Resultados!$A$23</c:f>
              <c:strCache>
                <c:ptCount val="1"/>
                <c:pt idx="0">
                  <c:v>Caixa Acumulado [R$]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val>
            <c:numRef>
              <c:f>Resultados!$B$23:$BI$23</c:f>
              <c:numCache>
                <c:formatCode>_("R$ "* #,##0.00_);_("R$ "* \(#,##0.00\);_("R$ "* "-"??_);_(@_)</c:formatCode>
                <c:ptCount val="60"/>
                <c:pt idx="0">
                  <c:v>-147843.29999999999</c:v>
                </c:pt>
                <c:pt idx="1">
                  <c:v>-290662.34999999998</c:v>
                </c:pt>
                <c:pt idx="2">
                  <c:v>-428457.14999999997</c:v>
                </c:pt>
                <c:pt idx="3">
                  <c:v>-561227.69999999995</c:v>
                </c:pt>
                <c:pt idx="4">
                  <c:v>-664974</c:v>
                </c:pt>
                <c:pt idx="5">
                  <c:v>-763696.05</c:v>
                </c:pt>
                <c:pt idx="6">
                  <c:v>-829393.85000000009</c:v>
                </c:pt>
                <c:pt idx="7">
                  <c:v>-890067.40000000014</c:v>
                </c:pt>
                <c:pt idx="8">
                  <c:v>-945716.70000000019</c:v>
                </c:pt>
                <c:pt idx="9">
                  <c:v>-996341.75000000023</c:v>
                </c:pt>
                <c:pt idx="10">
                  <c:v>-1041942.5500000003</c:v>
                </c:pt>
                <c:pt idx="11">
                  <c:v>-1082519.1000000003</c:v>
                </c:pt>
                <c:pt idx="12">
                  <c:v>-1116845.3572727276</c:v>
                </c:pt>
                <c:pt idx="13">
                  <c:v>-1125147.364545455</c:v>
                </c:pt>
                <c:pt idx="14">
                  <c:v>-1128425.1218181823</c:v>
                </c:pt>
                <c:pt idx="15">
                  <c:v>-1127272.4366181823</c:v>
                </c:pt>
                <c:pt idx="16">
                  <c:v>-1121813.7464181823</c:v>
                </c:pt>
                <c:pt idx="17">
                  <c:v>-1113039.0512181823</c:v>
                </c:pt>
                <c:pt idx="18">
                  <c:v>-1100948.3510181822</c:v>
                </c:pt>
                <c:pt idx="19">
                  <c:v>-1085541.6458181823</c:v>
                </c:pt>
                <c:pt idx="20">
                  <c:v>-1066818.9356181822</c:v>
                </c:pt>
                <c:pt idx="21">
                  <c:v>-1044780.2204181822</c:v>
                </c:pt>
                <c:pt idx="22">
                  <c:v>-1019425.5002181822</c:v>
                </c:pt>
                <c:pt idx="23">
                  <c:v>-990754.77501818223</c:v>
                </c:pt>
                <c:pt idx="24">
                  <c:v>-981468.05811818223</c:v>
                </c:pt>
                <c:pt idx="25">
                  <c:v>-969031.1364681822</c:v>
                </c:pt>
                <c:pt idx="26">
                  <c:v>-939584.01006818225</c:v>
                </c:pt>
                <c:pt idx="27">
                  <c:v>-906986.67891818227</c:v>
                </c:pt>
                <c:pt idx="28">
                  <c:v>-870249.14301818225</c:v>
                </c:pt>
                <c:pt idx="29">
                  <c:v>-830361.40236818232</c:v>
                </c:pt>
                <c:pt idx="30">
                  <c:v>-787323.45696818235</c:v>
                </c:pt>
                <c:pt idx="31">
                  <c:v>-741135.30681818235</c:v>
                </c:pt>
                <c:pt idx="32">
                  <c:v>-691796.95191818231</c:v>
                </c:pt>
                <c:pt idx="33">
                  <c:v>-639308.39226818236</c:v>
                </c:pt>
                <c:pt idx="34">
                  <c:v>-583669.62786818238</c:v>
                </c:pt>
                <c:pt idx="35">
                  <c:v>-524880.65871818236</c:v>
                </c:pt>
                <c:pt idx="36">
                  <c:v>-473777.73919568234</c:v>
                </c:pt>
                <c:pt idx="37">
                  <c:v>-405664.61492318235</c:v>
                </c:pt>
                <c:pt idx="38">
                  <c:v>-334401.28590068239</c:v>
                </c:pt>
                <c:pt idx="39">
                  <c:v>-259987.75212818239</c:v>
                </c:pt>
                <c:pt idx="40">
                  <c:v>-181434.01360568241</c:v>
                </c:pt>
                <c:pt idx="41">
                  <c:v>-99730.070333182419</c:v>
                </c:pt>
                <c:pt idx="42">
                  <c:v>-14875.92231068245</c:v>
                </c:pt>
                <c:pt idx="43">
                  <c:v>73128.430461817508</c:v>
                </c:pt>
                <c:pt idx="44">
                  <c:v>164282.9879843175</c:v>
                </c:pt>
                <c:pt idx="45">
                  <c:v>258587.7502568175</c:v>
                </c:pt>
                <c:pt idx="46">
                  <c:v>356042.7172793175</c:v>
                </c:pt>
                <c:pt idx="47">
                  <c:v>456647.88905181747</c:v>
                </c:pt>
                <c:pt idx="48">
                  <c:v>579356.77197569236</c:v>
                </c:pt>
                <c:pt idx="49">
                  <c:v>719075.85964956728</c:v>
                </c:pt>
                <c:pt idx="50">
                  <c:v>861945.15207344224</c:v>
                </c:pt>
                <c:pt idx="51">
                  <c:v>1007964.6492473172</c:v>
                </c:pt>
                <c:pt idx="52">
                  <c:v>1158124.3511711922</c:v>
                </c:pt>
                <c:pt idx="53">
                  <c:v>1311434.2578450672</c:v>
                </c:pt>
                <c:pt idx="54">
                  <c:v>1467894.3692689422</c:v>
                </c:pt>
                <c:pt idx="55">
                  <c:v>1627504.6854428172</c:v>
                </c:pt>
                <c:pt idx="56">
                  <c:v>1790265.2063666922</c:v>
                </c:pt>
                <c:pt idx="57">
                  <c:v>1956175.9320405673</c:v>
                </c:pt>
                <c:pt idx="58">
                  <c:v>2125236.8624644424</c:v>
                </c:pt>
                <c:pt idx="59">
                  <c:v>2297447.9976383173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4448"/>
        <c:axId val="83938112"/>
      </c:lineChart>
      <c:catAx>
        <c:axId val="842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lang="pt-BR" sz="1500" baseline="0"/>
            </a:pPr>
            <a:endParaRPr lang="pt-BR"/>
          </a:p>
        </c:txPr>
        <c:crossAx val="83938112"/>
        <c:crosses val="autoZero"/>
        <c:auto val="1"/>
        <c:lblAlgn val="ctr"/>
        <c:lblOffset val="100"/>
        <c:noMultiLvlLbl val="0"/>
      </c:catAx>
      <c:valAx>
        <c:axId val="83938112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lang="pt-BR" sz="1500" baseline="0"/>
            </a:pPr>
            <a:endParaRPr lang="pt-BR"/>
          </a:p>
        </c:txPr>
        <c:crossAx val="842644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josedornelas.com.br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62059</xdr:colOff>
      <xdr:row>35</xdr:row>
      <xdr:rowOff>28576</xdr:rowOff>
    </xdr:to>
    <xdr:pic>
      <xdr:nvPicPr>
        <xdr:cNvPr id="2" name="Imagem 1" descr="Planos de Negocios_19x23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48459" cy="6696076"/>
        </a:xfrm>
        <a:prstGeom prst="rect">
          <a:avLst/>
        </a:prstGeom>
      </xdr:spPr>
    </xdr:pic>
    <xdr:clientData/>
  </xdr:twoCellAnchor>
  <xdr:oneCellAnchor>
    <xdr:from>
      <xdr:col>10</xdr:col>
      <xdr:colOff>9525</xdr:colOff>
      <xdr:row>1</xdr:row>
      <xdr:rowOff>9525</xdr:rowOff>
    </xdr:from>
    <xdr:ext cx="4895850" cy="5534026"/>
    <xdr:sp macro="" textlink="">
      <xdr:nvSpPr>
        <xdr:cNvPr id="3" name="CaixaDeTexto 2">
          <a:hlinkClick xmlns:r="http://schemas.openxmlformats.org/officeDocument/2006/relationships" r:id="rId2"/>
        </xdr:cNvPr>
        <xdr:cNvSpPr txBox="1"/>
      </xdr:nvSpPr>
      <xdr:spPr>
        <a:xfrm>
          <a:off x="6105525" y="200025"/>
          <a:ext cx="4895850" cy="5534026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1100"/>
            <a:t>Esta é a planilha</a:t>
          </a:r>
          <a:r>
            <a:rPr lang="pt-BR" sz="1100" baseline="0"/>
            <a:t> do plano de negócios do site Tourbr.com, que acompanha o livro </a:t>
          </a:r>
          <a:r>
            <a:rPr lang="pt-BR" sz="1100" b="1" baseline="0">
              <a:solidFill>
                <a:srgbClr val="FF0000"/>
              </a:solidFill>
            </a:rPr>
            <a:t>Plano de negócios, seu guia definitivo</a:t>
          </a:r>
          <a:r>
            <a:rPr lang="pt-BR" sz="1100" baseline="0"/>
            <a:t>.  As pastas são apresentadas de maneira intuitiva, contendo todas as informações relevantes que foram usadas no desenvolvimento do PN do Tourbr.com.</a:t>
          </a:r>
        </a:p>
        <a:p>
          <a:endParaRPr lang="pt-BR" sz="1100" baseline="0"/>
        </a:p>
        <a:p>
          <a:r>
            <a:rPr lang="pt-BR" sz="1100" baseline="0"/>
            <a:t>Inicie pela pasta "Premissas" e depois siga a sequência sugerida na própria planilha: Receita, Investimentos_infra, Despesas, Custos, Funcionários, Resultados.</a:t>
          </a:r>
        </a:p>
        <a:p>
          <a:endParaRPr lang="pt-BR" sz="1100" baseline="0"/>
        </a:p>
        <a:p>
          <a:r>
            <a:rPr lang="pt-BR" sz="1100" baseline="0"/>
            <a:t>Note que em todas as pastas há vários comentários indicando a lógica utilizada nas projeções. Para acessar tais informações basta passar o ícone do mouse sobre qualquer célula que contenha uma pequena marca vermelha (o que sinaliza a existência de um comentário).</a:t>
          </a:r>
        </a:p>
        <a:p>
          <a:endParaRPr lang="pt-BR" sz="1100" baseline="0"/>
        </a:p>
        <a:p>
          <a:r>
            <a:rPr lang="pt-BR" sz="1100" baseline="0"/>
            <a:t>Você poderá alterar quaisquer informações nesta planilha a seu critério. Faça novos cenários para verificar quando e como o Tourbr.com se tornaria mais ou menos viável. Assim, você perceberá que o desenvolvimento de um plano de negócios utilizando como base uma planilha eletrônica torna-se mais efetivo e permite que você simule cenários.</a:t>
          </a:r>
        </a:p>
        <a:p>
          <a:endParaRPr lang="pt-BR" sz="1100" baseline="0"/>
        </a:p>
        <a:p>
          <a:r>
            <a:rPr lang="pt-BR" sz="1100" baseline="0"/>
            <a:t>Cada pasta desta planilha contém fórmulas que podem ser acessadas ao clicar em uma determinada célula. Procure entender a lógica dessas fórmulas para desenvolver o seu próprio plano de negócios. </a:t>
          </a:r>
        </a:p>
        <a:p>
          <a:endParaRPr lang="pt-BR" sz="1100" baseline="0"/>
        </a:p>
        <a:p>
          <a:r>
            <a:rPr lang="pt-BR" sz="1100" baseline="0"/>
            <a:t>Finalmente, ao reutilizar esta planilha, busque revisá-la para não correr o risco de manter  informações específicas do Tourbr.com e que não necessariamente sejam aplicáveis ao plano de negócios de sua empresa.</a:t>
          </a:r>
        </a:p>
        <a:p>
          <a:endParaRPr lang="pt-BR" sz="1100" baseline="0"/>
        </a:p>
        <a:p>
          <a:r>
            <a:rPr lang="pt-BR" sz="1100" baseline="0"/>
            <a:t>Para obter informações complementares, explicações, vídeos, textos e atualizações deste plano de negócios acesse: www.josedornelas.com.br e</a:t>
          </a:r>
        </a:p>
        <a:p>
          <a:r>
            <a:rPr lang="pt-BR" sz="1100" baseline="0"/>
            <a:t>www.easyplan.com.br (no Easyplan, busque por Tourbr.com)</a:t>
          </a:r>
        </a:p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72</xdr:row>
      <xdr:rowOff>0</xdr:rowOff>
    </xdr:from>
    <xdr:to>
      <xdr:col>3</xdr:col>
      <xdr:colOff>876300</xdr:colOff>
      <xdr:row>82</xdr:row>
      <xdr:rowOff>9525</xdr:rowOff>
    </xdr:to>
    <xdr:pic>
      <xdr:nvPicPr>
        <xdr:cNvPr id="2097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33800" y="14735175"/>
          <a:ext cx="2781300" cy="21050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</xdr:row>
      <xdr:rowOff>28575</xdr:rowOff>
    </xdr:from>
    <xdr:to>
      <xdr:col>4</xdr:col>
      <xdr:colOff>276225</xdr:colOff>
      <xdr:row>89</xdr:row>
      <xdr:rowOff>76200</xdr:rowOff>
    </xdr:to>
    <xdr:pic>
      <xdr:nvPicPr>
        <xdr:cNvPr id="209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724275" y="17049750"/>
          <a:ext cx="3076575" cy="19526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38</xdr:row>
      <xdr:rowOff>59531</xdr:rowOff>
    </xdr:from>
    <xdr:to>
      <xdr:col>5</xdr:col>
      <xdr:colOff>881062</xdr:colOff>
      <xdr:row>64</xdr:row>
      <xdr:rowOff>178593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11908</xdr:colOff>
      <xdr:row>49</xdr:row>
      <xdr:rowOff>72760</xdr:rowOff>
    </xdr:from>
    <xdr:to>
      <xdr:col>6</xdr:col>
      <xdr:colOff>1202532</xdr:colOff>
      <xdr:row>88</xdr:row>
      <xdr:rowOff>37042</xdr:rowOff>
    </xdr:to>
    <xdr:graphicFrame macro="">
      <xdr:nvGraphicFramePr>
        <xdr:cNvPr id="921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T24" sqref="T24"/>
    </sheetView>
  </sheetViews>
  <sheetFormatPr defaultRowHeight="15"/>
  <cols>
    <col min="11" max="11" width="9.7109375" customWidth="1"/>
  </cols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91"/>
  <sheetViews>
    <sheetView zoomScaleNormal="100" zoomScalePageLayoutView="85" workbookViewId="0"/>
  </sheetViews>
  <sheetFormatPr defaultColWidth="8.85546875" defaultRowHeight="15"/>
  <cols>
    <col min="1" max="1" width="55.85546875" customWidth="1"/>
    <col min="2" max="2" width="14.5703125" customWidth="1"/>
    <col min="3" max="3" width="14.140625" customWidth="1"/>
    <col min="4" max="4" width="13.28515625" customWidth="1"/>
    <col min="5" max="6" width="12.85546875" customWidth="1"/>
    <col min="7" max="7" width="12.28515625" customWidth="1"/>
    <col min="12" max="12" width="11.140625" customWidth="1"/>
  </cols>
  <sheetData>
    <row r="1" spans="1:5" s="5" customFormat="1" ht="18">
      <c r="A1" s="99" t="s">
        <v>143</v>
      </c>
      <c r="B1" s="100"/>
      <c r="C1" s="3"/>
      <c r="D1" s="4"/>
    </row>
    <row r="2" spans="1:5" s="5" customFormat="1">
      <c r="A2" s="6" t="str">
        <f>CONCATENATE(Company, ": ",start, " -  ",end)</f>
        <v>Tourbr.com: Mês 1 -  Mês 60</v>
      </c>
      <c r="B2" s="7"/>
      <c r="C2" s="3"/>
      <c r="D2" s="4"/>
    </row>
    <row r="3" spans="1:5" s="5" customFormat="1">
      <c r="A3" s="8"/>
      <c r="B3" s="137"/>
      <c r="C3" s="98"/>
    </row>
    <row r="4" spans="1:5" s="5" customFormat="1" ht="28.5" customHeight="1">
      <c r="A4" s="226" t="s">
        <v>144</v>
      </c>
      <c r="B4" s="226"/>
      <c r="C4" s="226"/>
      <c r="D4" s="226"/>
      <c r="E4" s="226"/>
    </row>
    <row r="5" spans="1:5" s="5" customFormat="1" ht="14.25">
      <c r="A5" s="97"/>
      <c r="B5" s="96"/>
      <c r="C5" s="9"/>
    </row>
    <row r="6" spans="1:5" s="10" customFormat="1" ht="15.75">
      <c r="A6" s="101" t="s">
        <v>73</v>
      </c>
      <c r="B6" s="101"/>
      <c r="C6" s="4"/>
    </row>
    <row r="7" spans="1:5" s="11" customFormat="1" ht="12.75">
      <c r="A7" s="12" t="s">
        <v>52</v>
      </c>
      <c r="B7" s="9" t="s">
        <v>102</v>
      </c>
    </row>
    <row r="8" spans="1:5" s="11" customFormat="1" ht="12.75">
      <c r="A8" s="12" t="s">
        <v>53</v>
      </c>
      <c r="B8" s="9" t="s">
        <v>54</v>
      </c>
    </row>
    <row r="9" spans="1:5" s="11" customFormat="1" ht="12.75">
      <c r="A9" s="12" t="s">
        <v>55</v>
      </c>
      <c r="B9" s="9" t="s">
        <v>103</v>
      </c>
    </row>
    <row r="10" spans="1:5" s="11" customFormat="1" ht="12.75">
      <c r="A10" s="12" t="s">
        <v>56</v>
      </c>
      <c r="B10" s="9" t="s">
        <v>57</v>
      </c>
    </row>
    <row r="11" spans="1:5" s="11" customFormat="1" ht="12.75">
      <c r="A11" s="12" t="s">
        <v>58</v>
      </c>
      <c r="B11" s="9" t="s">
        <v>59</v>
      </c>
    </row>
    <row r="12" spans="1:5" s="11" customFormat="1">
      <c r="A12" s="13"/>
      <c r="B12" s="2"/>
    </row>
    <row r="13" spans="1:5" s="11" customFormat="1">
      <c r="A13" s="14"/>
      <c r="B13" s="2"/>
      <c r="C13" s="4"/>
    </row>
    <row r="14" spans="1:5">
      <c r="A14" s="129" t="s">
        <v>187</v>
      </c>
      <c r="B14" s="130"/>
    </row>
    <row r="15" spans="1:5">
      <c r="A15" s="134" t="s">
        <v>110</v>
      </c>
      <c r="B15" s="131">
        <v>0.1</v>
      </c>
    </row>
    <row r="16" spans="1:5">
      <c r="A16" s="134" t="s">
        <v>96</v>
      </c>
      <c r="B16" s="132">
        <v>0.05</v>
      </c>
    </row>
    <row r="17" spans="1:7">
      <c r="A17" s="134" t="s">
        <v>97</v>
      </c>
      <c r="B17" s="133">
        <v>3.6499999999999998E-2</v>
      </c>
    </row>
    <row r="18" spans="1:7">
      <c r="A18" s="134" t="s">
        <v>186</v>
      </c>
      <c r="B18" s="133">
        <f>ISS+B17</f>
        <v>8.6499999999999994E-2</v>
      </c>
    </row>
    <row r="19" spans="1:7">
      <c r="A19" s="134" t="s">
        <v>22</v>
      </c>
      <c r="B19" s="133">
        <v>0.25</v>
      </c>
    </row>
    <row r="20" spans="1:7">
      <c r="A20" s="134" t="s">
        <v>85</v>
      </c>
      <c r="B20" s="133">
        <v>0.09</v>
      </c>
    </row>
    <row r="22" spans="1:7" s="94" customFormat="1">
      <c r="A22" s="92" t="s">
        <v>136</v>
      </c>
      <c r="B22" s="93" t="s">
        <v>105</v>
      </c>
      <c r="C22" s="93" t="s">
        <v>106</v>
      </c>
      <c r="D22" s="93" t="s">
        <v>107</v>
      </c>
      <c r="E22" s="93" t="s">
        <v>108</v>
      </c>
      <c r="F22" s="93" t="s">
        <v>109</v>
      </c>
      <c r="G22" s="178"/>
    </row>
    <row r="23" spans="1:7">
      <c r="A23" s="135" t="s">
        <v>104</v>
      </c>
      <c r="B23" s="86">
        <v>50</v>
      </c>
      <c r="C23" s="86">
        <v>50</v>
      </c>
      <c r="D23" s="86">
        <v>50</v>
      </c>
      <c r="E23" s="86">
        <v>50</v>
      </c>
      <c r="F23" s="86">
        <v>50</v>
      </c>
      <c r="G23" s="91"/>
    </row>
    <row r="24" spans="1:7">
      <c r="A24" s="135" t="s">
        <v>137</v>
      </c>
      <c r="B24" s="86"/>
      <c r="C24" s="86">
        <v>500</v>
      </c>
      <c r="D24" s="86">
        <v>500</v>
      </c>
      <c r="E24" s="86">
        <v>500</v>
      </c>
      <c r="F24" s="86">
        <v>500</v>
      </c>
      <c r="G24" s="91"/>
    </row>
    <row r="25" spans="1:7">
      <c r="A25" s="135" t="s">
        <v>138</v>
      </c>
      <c r="B25">
        <v>50</v>
      </c>
      <c r="C25" s="1">
        <v>0.3</v>
      </c>
      <c r="D25" s="1">
        <v>0.3</v>
      </c>
      <c r="E25" s="1">
        <v>0.3</v>
      </c>
      <c r="F25" s="1">
        <v>0.3</v>
      </c>
      <c r="G25" s="179"/>
    </row>
    <row r="26" spans="1:7">
      <c r="A26" s="135" t="s">
        <v>139</v>
      </c>
      <c r="B26">
        <v>80</v>
      </c>
      <c r="C26">
        <v>80</v>
      </c>
      <c r="D26">
        <v>80</v>
      </c>
      <c r="E26">
        <v>80</v>
      </c>
      <c r="F26">
        <v>80</v>
      </c>
      <c r="G26" s="58"/>
    </row>
    <row r="27" spans="1:7">
      <c r="A27" s="135" t="s">
        <v>147</v>
      </c>
      <c r="B27">
        <v>10</v>
      </c>
      <c r="C27">
        <v>40</v>
      </c>
      <c r="D27">
        <v>80</v>
      </c>
      <c r="E27">
        <v>130</v>
      </c>
      <c r="F27">
        <v>200</v>
      </c>
      <c r="G27" s="58"/>
    </row>
    <row r="28" spans="1:7">
      <c r="A28" s="135" t="s">
        <v>148</v>
      </c>
      <c r="B28">
        <f>0.5*B27</f>
        <v>5</v>
      </c>
      <c r="C28">
        <f>2*C27</f>
        <v>80</v>
      </c>
      <c r="D28">
        <f t="shared" ref="D28:F28" si="0">2*D27</f>
        <v>160</v>
      </c>
      <c r="E28">
        <f t="shared" si="0"/>
        <v>260</v>
      </c>
      <c r="F28">
        <f t="shared" si="0"/>
        <v>400</v>
      </c>
      <c r="G28" s="58"/>
    </row>
    <row r="29" spans="1:7">
      <c r="A29" s="135" t="s">
        <v>157</v>
      </c>
      <c r="B29" s="95">
        <f>B25*B27</f>
        <v>500</v>
      </c>
      <c r="C29" s="95">
        <f>C28*C26*C25</f>
        <v>1920</v>
      </c>
      <c r="D29" s="95">
        <f t="shared" ref="D29:F29" si="1">D28*D26*D25</f>
        <v>3840</v>
      </c>
      <c r="E29" s="95">
        <f t="shared" si="1"/>
        <v>6240</v>
      </c>
      <c r="F29" s="95">
        <f t="shared" si="1"/>
        <v>9600</v>
      </c>
      <c r="G29" s="180"/>
    </row>
    <row r="30" spans="1:7">
      <c r="A30" s="135" t="s">
        <v>162</v>
      </c>
      <c r="B30">
        <v>0</v>
      </c>
      <c r="C30" s="89">
        <f>C24*C48*2%/12</f>
        <v>2200</v>
      </c>
      <c r="D30" s="89">
        <f t="shared" ref="D30:F30" si="2">D24*D48*2%/12</f>
        <v>3135</v>
      </c>
      <c r="E30" s="89">
        <f t="shared" si="2"/>
        <v>4023.25</v>
      </c>
      <c r="F30" s="89">
        <f t="shared" si="2"/>
        <v>4867.0874999999987</v>
      </c>
      <c r="G30" s="104"/>
    </row>
    <row r="31" spans="1:7">
      <c r="G31" s="58"/>
    </row>
    <row r="32" spans="1:7" s="94" customFormat="1">
      <c r="A32" s="92" t="s">
        <v>134</v>
      </c>
      <c r="B32" s="93" t="s">
        <v>105</v>
      </c>
      <c r="C32" s="93" t="s">
        <v>106</v>
      </c>
      <c r="D32" s="93" t="s">
        <v>107</v>
      </c>
      <c r="E32" s="93" t="s">
        <v>108</v>
      </c>
      <c r="F32" s="93" t="s">
        <v>109</v>
      </c>
      <c r="G32" s="102"/>
    </row>
    <row r="33" spans="1:7">
      <c r="A33" s="135" t="s">
        <v>140</v>
      </c>
      <c r="B33" s="95">
        <v>240000</v>
      </c>
      <c r="C33" s="95">
        <f>B33</f>
        <v>240000</v>
      </c>
      <c r="D33" s="95">
        <v>240000</v>
      </c>
      <c r="E33" s="95">
        <v>240000</v>
      </c>
      <c r="F33" s="95">
        <v>240000</v>
      </c>
      <c r="G33" s="180"/>
    </row>
    <row r="34" spans="1:7">
      <c r="A34" s="135" t="s">
        <v>112</v>
      </c>
      <c r="B34" s="95">
        <f>B33/12</f>
        <v>20000</v>
      </c>
      <c r="C34" s="95">
        <f>B34</f>
        <v>20000</v>
      </c>
      <c r="D34" s="95">
        <f t="shared" ref="D34:F34" si="3">C34</f>
        <v>20000</v>
      </c>
      <c r="E34" s="95">
        <f t="shared" si="3"/>
        <v>20000</v>
      </c>
      <c r="F34" s="95">
        <f t="shared" si="3"/>
        <v>20000</v>
      </c>
      <c r="G34" s="180"/>
    </row>
    <row r="35" spans="1:7">
      <c r="A35" s="135" t="s">
        <v>111</v>
      </c>
      <c r="B35">
        <v>0.33</v>
      </c>
      <c r="C35">
        <f t="shared" ref="C35:F46" si="4">B35</f>
        <v>0.33</v>
      </c>
      <c r="D35">
        <f t="shared" si="4"/>
        <v>0.33</v>
      </c>
      <c r="E35">
        <f t="shared" si="4"/>
        <v>0.33</v>
      </c>
      <c r="F35">
        <f t="shared" si="4"/>
        <v>0.33</v>
      </c>
      <c r="G35" s="58"/>
    </row>
    <row r="36" spans="1:7">
      <c r="A36" s="135" t="s">
        <v>113</v>
      </c>
      <c r="B36" s="87">
        <f>B34/B35</f>
        <v>60606.060606060601</v>
      </c>
      <c r="C36" s="88">
        <f t="shared" si="4"/>
        <v>60606.060606060601</v>
      </c>
      <c r="D36" s="88">
        <f t="shared" si="4"/>
        <v>60606.060606060601</v>
      </c>
      <c r="E36" s="88">
        <f t="shared" si="4"/>
        <v>60606.060606060601</v>
      </c>
      <c r="F36" s="88">
        <f t="shared" si="4"/>
        <v>60606.060606060601</v>
      </c>
      <c r="G36" s="181"/>
    </row>
    <row r="37" spans="1:7">
      <c r="A37" s="135" t="s">
        <v>114</v>
      </c>
      <c r="B37" s="88">
        <f>0.1*B36</f>
        <v>6060.6060606060601</v>
      </c>
      <c r="C37" s="88">
        <f>(B37+C36)*30%</f>
        <v>19999.999999999996</v>
      </c>
      <c r="D37" s="88">
        <f>(C37+D36)*60%</f>
        <v>48363.636363636353</v>
      </c>
      <c r="E37" s="88">
        <f>(D37+E36)*100%</f>
        <v>108969.69696969696</v>
      </c>
      <c r="F37" s="88">
        <f>(E37+F36)*150%</f>
        <v>254363.63636363635</v>
      </c>
      <c r="G37" s="181"/>
    </row>
    <row r="38" spans="1:7">
      <c r="A38" s="135" t="s">
        <v>125</v>
      </c>
      <c r="B38" s="89">
        <f>0.2*(B36+B37)</f>
        <v>13333.333333333332</v>
      </c>
      <c r="C38" s="89">
        <f t="shared" ref="C38" si="5">0.2*(C36+C37)</f>
        <v>16121.21212121212</v>
      </c>
      <c r="D38" s="89">
        <f>0.2*(D36+D37)</f>
        <v>21793.939393939392</v>
      </c>
      <c r="E38" s="89">
        <f>0.2*(E36+E37)</f>
        <v>33915.151515151512</v>
      </c>
      <c r="F38" s="89">
        <f>0.15*(F36+F37)</f>
        <v>47245.454545454544</v>
      </c>
      <c r="G38" s="104"/>
    </row>
    <row r="39" spans="1:7">
      <c r="A39" s="135" t="s">
        <v>141</v>
      </c>
      <c r="B39" s="89">
        <f>B38*12</f>
        <v>160000</v>
      </c>
      <c r="C39" s="89">
        <f>B39+(C38*12)</f>
        <v>353454.54545454541</v>
      </c>
      <c r="D39" s="89">
        <f>C39+(D38*12)</f>
        <v>614981.81818181812</v>
      </c>
      <c r="E39" s="89">
        <f>D39+(E38*12)</f>
        <v>1021963.6363636362</v>
      </c>
      <c r="F39" s="89">
        <f>E39+(F38*12)</f>
        <v>1588909.0909090908</v>
      </c>
      <c r="G39" s="104"/>
    </row>
    <row r="40" spans="1:7">
      <c r="A40" s="136" t="s">
        <v>133</v>
      </c>
      <c r="B40">
        <v>5</v>
      </c>
      <c r="C40">
        <f t="shared" si="4"/>
        <v>5</v>
      </c>
      <c r="D40">
        <f t="shared" si="4"/>
        <v>5</v>
      </c>
      <c r="E40">
        <f t="shared" si="4"/>
        <v>5</v>
      </c>
      <c r="F40">
        <f t="shared" si="4"/>
        <v>5</v>
      </c>
      <c r="G40" s="58"/>
    </row>
    <row r="41" spans="1:7">
      <c r="A41" s="136" t="s">
        <v>142</v>
      </c>
      <c r="B41">
        <v>50</v>
      </c>
      <c r="C41">
        <f t="shared" si="4"/>
        <v>50</v>
      </c>
      <c r="D41">
        <f t="shared" si="4"/>
        <v>50</v>
      </c>
      <c r="E41">
        <f t="shared" si="4"/>
        <v>50</v>
      </c>
      <c r="F41">
        <f t="shared" si="4"/>
        <v>50</v>
      </c>
      <c r="G41" s="58"/>
    </row>
    <row r="42" spans="1:7">
      <c r="A42" s="136" t="s">
        <v>115</v>
      </c>
      <c r="B42">
        <f>B41*B40</f>
        <v>250</v>
      </c>
      <c r="C42">
        <f t="shared" si="4"/>
        <v>250</v>
      </c>
      <c r="D42">
        <f t="shared" si="4"/>
        <v>250</v>
      </c>
      <c r="E42">
        <f t="shared" si="4"/>
        <v>250</v>
      </c>
      <c r="F42">
        <f t="shared" si="4"/>
        <v>250</v>
      </c>
      <c r="G42" s="58"/>
    </row>
    <row r="43" spans="1:7">
      <c r="A43" s="136" t="s">
        <v>116</v>
      </c>
      <c r="B43" s="1">
        <v>0.3</v>
      </c>
      <c r="C43" s="1">
        <v>0.3</v>
      </c>
      <c r="D43" s="1">
        <v>0.3</v>
      </c>
      <c r="E43" s="1">
        <v>0.3</v>
      </c>
      <c r="F43" s="1">
        <v>0.3</v>
      </c>
      <c r="G43" s="179"/>
    </row>
    <row r="44" spans="1:7">
      <c r="A44" s="136" t="s">
        <v>119</v>
      </c>
      <c r="B44" s="87">
        <f>B43*B42</f>
        <v>75</v>
      </c>
      <c r="C44">
        <f t="shared" si="4"/>
        <v>75</v>
      </c>
      <c r="D44">
        <f t="shared" ref="D44:F44" si="6">C44</f>
        <v>75</v>
      </c>
      <c r="E44">
        <f t="shared" si="6"/>
        <v>75</v>
      </c>
      <c r="F44">
        <f t="shared" si="6"/>
        <v>75</v>
      </c>
      <c r="G44" s="58"/>
    </row>
    <row r="45" spans="1:7">
      <c r="A45" s="136" t="s">
        <v>117</v>
      </c>
      <c r="B45" s="1">
        <v>0.02</v>
      </c>
      <c r="C45" s="90">
        <f t="shared" si="4"/>
        <v>0.02</v>
      </c>
      <c r="D45" s="90">
        <f t="shared" ref="D45:F45" si="7">C45</f>
        <v>0.02</v>
      </c>
      <c r="E45" s="90">
        <f t="shared" si="7"/>
        <v>0.02</v>
      </c>
      <c r="F45" s="90">
        <f t="shared" si="7"/>
        <v>0.02</v>
      </c>
      <c r="G45" s="182"/>
    </row>
    <row r="46" spans="1:7">
      <c r="A46" s="136" t="s">
        <v>118</v>
      </c>
      <c r="B46">
        <f>B42*B45</f>
        <v>5</v>
      </c>
      <c r="C46">
        <f t="shared" si="4"/>
        <v>5</v>
      </c>
      <c r="D46">
        <f t="shared" ref="D46:F46" si="8">C46</f>
        <v>5</v>
      </c>
      <c r="E46">
        <f t="shared" si="8"/>
        <v>5</v>
      </c>
      <c r="F46">
        <f t="shared" si="8"/>
        <v>5</v>
      </c>
      <c r="G46" s="58"/>
    </row>
    <row r="47" spans="1:7">
      <c r="A47" s="136" t="s">
        <v>124</v>
      </c>
      <c r="B47">
        <f>22*B46</f>
        <v>110</v>
      </c>
      <c r="C47">
        <f>22*C46</f>
        <v>110</v>
      </c>
      <c r="D47">
        <f t="shared" ref="D47:F47" si="9">22*D46</f>
        <v>110</v>
      </c>
      <c r="E47">
        <f t="shared" si="9"/>
        <v>110</v>
      </c>
      <c r="F47">
        <f t="shared" si="9"/>
        <v>110</v>
      </c>
      <c r="G47" s="58"/>
    </row>
    <row r="48" spans="1:7">
      <c r="A48" s="136" t="s">
        <v>129</v>
      </c>
      <c r="B48" s="86">
        <f>12*B47</f>
        <v>1320</v>
      </c>
      <c r="C48" s="86">
        <f>B48+(C47*12)</f>
        <v>2640</v>
      </c>
      <c r="D48" s="86">
        <f>(C48+(12*D47))*95%</f>
        <v>3762</v>
      </c>
      <c r="E48" s="86">
        <f>(D48+(E47*12))*95%</f>
        <v>4827.8999999999996</v>
      </c>
      <c r="F48" s="86">
        <f>(E48+(F47*12))*95%</f>
        <v>5840.5049999999992</v>
      </c>
      <c r="G48" s="91"/>
    </row>
    <row r="49" spans="1:7">
      <c r="A49" s="85"/>
      <c r="B49" s="86"/>
      <c r="C49" s="86"/>
      <c r="D49" s="86"/>
      <c r="E49" s="86"/>
      <c r="F49" s="86"/>
      <c r="G49" s="91"/>
    </row>
    <row r="50" spans="1:7">
      <c r="A50" s="92" t="s">
        <v>135</v>
      </c>
      <c r="B50" s="93" t="s">
        <v>105</v>
      </c>
      <c r="C50" s="93" t="s">
        <v>106</v>
      </c>
      <c r="D50" s="93" t="s">
        <v>107</v>
      </c>
      <c r="E50" s="93" t="s">
        <v>108</v>
      </c>
      <c r="F50" s="93" t="s">
        <v>109</v>
      </c>
      <c r="G50" s="58"/>
    </row>
    <row r="51" spans="1:7">
      <c r="A51" s="136" t="s">
        <v>121</v>
      </c>
      <c r="B51" s="87">
        <v>240000</v>
      </c>
      <c r="C51" s="87">
        <v>240000</v>
      </c>
      <c r="D51" s="87">
        <v>240000</v>
      </c>
      <c r="E51" s="87">
        <v>240000</v>
      </c>
      <c r="F51" s="87">
        <v>240000</v>
      </c>
      <c r="G51" s="183"/>
    </row>
    <row r="52" spans="1:7">
      <c r="A52" s="136" t="s">
        <v>120</v>
      </c>
      <c r="B52" s="87">
        <v>60000</v>
      </c>
      <c r="C52" s="87">
        <v>60000</v>
      </c>
      <c r="D52" s="87">
        <v>60000</v>
      </c>
      <c r="E52" s="87">
        <v>210000</v>
      </c>
      <c r="F52" s="87">
        <v>60000</v>
      </c>
      <c r="G52" s="183"/>
    </row>
    <row r="53" spans="1:7">
      <c r="A53" s="136" t="s">
        <v>145</v>
      </c>
      <c r="B53" s="87">
        <f>B51+B52</f>
        <v>300000</v>
      </c>
      <c r="C53" s="87">
        <f t="shared" ref="C53:F53" si="10">C51+C52</f>
        <v>300000</v>
      </c>
      <c r="D53" s="87">
        <f t="shared" si="10"/>
        <v>300000</v>
      </c>
      <c r="E53" s="87">
        <f t="shared" si="10"/>
        <v>450000</v>
      </c>
      <c r="F53" s="87">
        <f t="shared" si="10"/>
        <v>300000</v>
      </c>
      <c r="G53" s="183"/>
    </row>
    <row r="54" spans="1:7">
      <c r="A54" s="85"/>
      <c r="G54" s="58"/>
    </row>
    <row r="55" spans="1:7">
      <c r="A55" s="92" t="s">
        <v>146</v>
      </c>
      <c r="B55" s="93" t="s">
        <v>105</v>
      </c>
      <c r="C55" s="93" t="s">
        <v>106</v>
      </c>
      <c r="D55" s="93" t="s">
        <v>107</v>
      </c>
      <c r="E55" s="93" t="s">
        <v>108</v>
      </c>
      <c r="F55" s="93" t="s">
        <v>109</v>
      </c>
      <c r="G55" s="58"/>
    </row>
    <row r="56" spans="1:7">
      <c r="A56" s="135" t="s">
        <v>196</v>
      </c>
      <c r="B56" s="89">
        <f>B36+B37</f>
        <v>66666.666666666657</v>
      </c>
      <c r="C56" s="89">
        <f t="shared" ref="C56:F56" si="11">C36+C37</f>
        <v>80606.060606060593</v>
      </c>
      <c r="D56" s="89">
        <f t="shared" si="11"/>
        <v>108969.69696969696</v>
      </c>
      <c r="E56" s="89">
        <f t="shared" si="11"/>
        <v>169575.75757575757</v>
      </c>
      <c r="F56" s="89">
        <f t="shared" si="11"/>
        <v>314969.69696969696</v>
      </c>
      <c r="G56" s="104"/>
    </row>
    <row r="57" spans="1:7">
      <c r="A57" s="135" t="s">
        <v>123</v>
      </c>
      <c r="B57">
        <f>0.3*600/1000</f>
        <v>0.18</v>
      </c>
      <c r="C57">
        <f>0.5*600/1000</f>
        <v>0.3</v>
      </c>
      <c r="D57">
        <f>0.5*600/1000</f>
        <v>0.3</v>
      </c>
      <c r="E57">
        <f>0.5*600/1000</f>
        <v>0.3</v>
      </c>
      <c r="F57">
        <f>0.5*600/1000</f>
        <v>0.3</v>
      </c>
      <c r="G57" s="58"/>
    </row>
    <row r="58" spans="1:7">
      <c r="A58" s="135" t="s">
        <v>128</v>
      </c>
      <c r="B58" s="86">
        <f>B48</f>
        <v>1320</v>
      </c>
      <c r="C58" s="86">
        <f t="shared" ref="C58:F58" si="12">C48</f>
        <v>2640</v>
      </c>
      <c r="D58" s="86">
        <f t="shared" si="12"/>
        <v>3762</v>
      </c>
      <c r="E58" s="86">
        <f t="shared" si="12"/>
        <v>4827.8999999999996</v>
      </c>
      <c r="F58" s="86">
        <f t="shared" si="12"/>
        <v>5840.5049999999992</v>
      </c>
      <c r="G58" s="91"/>
    </row>
    <row r="59" spans="1:7">
      <c r="A59" s="135" t="s">
        <v>160</v>
      </c>
      <c r="B59">
        <v>1000</v>
      </c>
      <c r="C59">
        <v>1000</v>
      </c>
      <c r="D59">
        <v>1000</v>
      </c>
      <c r="E59">
        <v>1000</v>
      </c>
      <c r="F59">
        <v>1000</v>
      </c>
      <c r="G59" s="58"/>
    </row>
    <row r="60" spans="1:7">
      <c r="A60" s="135" t="s">
        <v>161</v>
      </c>
      <c r="B60" s="86">
        <f>1%*B58*2</f>
        <v>26.400000000000002</v>
      </c>
      <c r="C60" s="86">
        <f t="shared" ref="C60:F60" si="13">1%*C58*2</f>
        <v>52.800000000000004</v>
      </c>
      <c r="D60" s="86">
        <f t="shared" si="13"/>
        <v>75.239999999999995</v>
      </c>
      <c r="E60" s="86">
        <f t="shared" si="13"/>
        <v>96.557999999999993</v>
      </c>
      <c r="F60" s="86">
        <f t="shared" si="13"/>
        <v>116.81009999999999</v>
      </c>
      <c r="G60" s="91"/>
    </row>
    <row r="61" spans="1:7">
      <c r="A61" s="135" t="s">
        <v>126</v>
      </c>
      <c r="B61">
        <v>8</v>
      </c>
      <c r="C61">
        <v>8</v>
      </c>
      <c r="D61">
        <v>8</v>
      </c>
      <c r="E61">
        <v>8</v>
      </c>
      <c r="F61">
        <v>8</v>
      </c>
      <c r="G61" s="58"/>
    </row>
    <row r="62" spans="1:7">
      <c r="A62" s="135" t="s">
        <v>122</v>
      </c>
      <c r="B62">
        <f>100/1000</f>
        <v>0.1</v>
      </c>
      <c r="C62">
        <f>100/1000</f>
        <v>0.1</v>
      </c>
      <c r="D62">
        <f t="shared" ref="D62:F62" si="14">100/1000</f>
        <v>0.1</v>
      </c>
      <c r="E62">
        <f t="shared" si="14"/>
        <v>0.1</v>
      </c>
      <c r="F62">
        <f t="shared" si="14"/>
        <v>0.1</v>
      </c>
      <c r="G62" s="58"/>
    </row>
    <row r="63" spans="1:7">
      <c r="A63" s="135" t="s">
        <v>127</v>
      </c>
      <c r="B63">
        <f>B62*B61</f>
        <v>0.8</v>
      </c>
      <c r="C63">
        <f t="shared" ref="C63:F63" si="15">C62*C61</f>
        <v>0.8</v>
      </c>
      <c r="D63">
        <f t="shared" si="15"/>
        <v>0.8</v>
      </c>
      <c r="E63">
        <f t="shared" si="15"/>
        <v>0.8</v>
      </c>
      <c r="F63">
        <f t="shared" si="15"/>
        <v>0.8</v>
      </c>
      <c r="G63" s="58"/>
    </row>
    <row r="64" spans="1:7" s="58" customFormat="1">
      <c r="A64" s="135" t="s">
        <v>132</v>
      </c>
      <c r="B64" s="105">
        <f>B57*B56</f>
        <v>11999.999999999998</v>
      </c>
      <c r="C64" s="105">
        <f>C57*C56</f>
        <v>24181.818181818177</v>
      </c>
      <c r="D64" s="105">
        <f>D57*D56</f>
        <v>32690.909090909088</v>
      </c>
      <c r="E64" s="105">
        <f>E57*E56</f>
        <v>50872.727272727272</v>
      </c>
      <c r="F64" s="105">
        <f>F57*F56</f>
        <v>94490.909090909088</v>
      </c>
      <c r="G64" s="105"/>
    </row>
    <row r="65" spans="1:7" s="58" customFormat="1">
      <c r="A65" s="135" t="s">
        <v>130</v>
      </c>
      <c r="B65" s="105">
        <f>B60*B59/12</f>
        <v>2200.0000000000005</v>
      </c>
      <c r="C65" s="105">
        <f>C60*C59/12</f>
        <v>4400.0000000000009</v>
      </c>
      <c r="D65" s="105">
        <f>D60*D59/12</f>
        <v>6270</v>
      </c>
      <c r="E65" s="105">
        <f>E60*E59/12</f>
        <v>8046.5</v>
      </c>
      <c r="F65" s="105">
        <f>F60*F59/12</f>
        <v>9734.1749999999993</v>
      </c>
      <c r="G65" s="105"/>
    </row>
    <row r="66" spans="1:7" s="106" customFormat="1">
      <c r="A66" s="134" t="s">
        <v>131</v>
      </c>
      <c r="B66" s="107">
        <f>B63*B39/12</f>
        <v>10666.666666666666</v>
      </c>
      <c r="C66" s="107">
        <f>C63*C39/12</f>
        <v>23563.636363636364</v>
      </c>
      <c r="D66" s="107">
        <f>D63*D39/12</f>
        <v>40998.78787878788</v>
      </c>
      <c r="E66" s="107">
        <f>E63*E39/12</f>
        <v>68130.909090909088</v>
      </c>
      <c r="F66" s="107">
        <f>F63*F39/12</f>
        <v>105927.27272727272</v>
      </c>
      <c r="G66" s="107"/>
    </row>
    <row r="67" spans="1:7">
      <c r="G67" s="58"/>
    </row>
    <row r="71" spans="1:7" ht="60">
      <c r="A71" s="224" t="s">
        <v>212</v>
      </c>
    </row>
    <row r="72" spans="1:7" ht="45">
      <c r="A72" s="223" t="s">
        <v>213</v>
      </c>
    </row>
    <row r="73" spans="1:7" ht="30">
      <c r="A73" s="223" t="s">
        <v>214</v>
      </c>
    </row>
    <row r="74" spans="1:7">
      <c r="A74" s="223" t="s">
        <v>215</v>
      </c>
    </row>
    <row r="75" spans="1:7">
      <c r="A75" s="223" t="s">
        <v>216</v>
      </c>
    </row>
    <row r="76" spans="1:7">
      <c r="A76" s="223" t="s">
        <v>217</v>
      </c>
    </row>
    <row r="77" spans="1:7">
      <c r="A77" s="223" t="s">
        <v>218</v>
      </c>
    </row>
    <row r="78" spans="1:7">
      <c r="A78" s="223" t="s">
        <v>219</v>
      </c>
    </row>
    <row r="79" spans="1:7">
      <c r="A79" s="223" t="s">
        <v>220</v>
      </c>
    </row>
    <row r="84" spans="1:1" ht="30">
      <c r="A84" s="223" t="s">
        <v>221</v>
      </c>
    </row>
    <row r="85" spans="1:1" ht="30">
      <c r="A85" s="223" t="s">
        <v>222</v>
      </c>
    </row>
    <row r="86" spans="1:1" ht="30">
      <c r="A86" s="223" t="s">
        <v>223</v>
      </c>
    </row>
    <row r="87" spans="1:1" ht="30">
      <c r="A87" s="223" t="s">
        <v>224</v>
      </c>
    </row>
    <row r="88" spans="1:1">
      <c r="A88" s="223" t="s">
        <v>225</v>
      </c>
    </row>
    <row r="89" spans="1:1">
      <c r="A89" s="223" t="s">
        <v>226</v>
      </c>
    </row>
    <row r="91" spans="1:1" ht="105">
      <c r="A91" s="225" t="s">
        <v>227</v>
      </c>
    </row>
  </sheetData>
  <mergeCells count="1">
    <mergeCell ref="A4:E4"/>
  </mergeCells>
  <pageMargins left="0.7" right="0.7" top="0.75" bottom="0.75" header="0.3" footer="0.3"/>
  <pageSetup paperSize="9" orientation="portrait" horizontalDpi="300" verticalDpi="300" r:id="rId1"/>
  <drawing r:id="rId2"/>
  <legacyDrawing r:id="rId3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7"/>
  <sheetViews>
    <sheetView topLeftCell="A38" zoomScale="80" zoomScaleNormal="80" zoomScalePageLayoutView="85" workbookViewId="0">
      <selection activeCell="G37" sqref="G37"/>
    </sheetView>
  </sheetViews>
  <sheetFormatPr defaultColWidth="8.85546875" defaultRowHeight="15"/>
  <cols>
    <col min="1" max="1" width="63.42578125" customWidth="1"/>
    <col min="2" max="2" width="13.28515625" bestFit="1" customWidth="1"/>
    <col min="3" max="4" width="13.85546875" bestFit="1" customWidth="1"/>
    <col min="5" max="8" width="14.28515625" bestFit="1" customWidth="1"/>
    <col min="9" max="37" width="13.42578125" bestFit="1" customWidth="1"/>
    <col min="38" max="38" width="14.42578125" bestFit="1" customWidth="1"/>
    <col min="39" max="49" width="13.42578125" bestFit="1" customWidth="1"/>
    <col min="50" max="50" width="14.28515625" customWidth="1"/>
    <col min="51" max="61" width="13.42578125" bestFit="1" customWidth="1"/>
    <col min="62" max="62" width="14.42578125" bestFit="1" customWidth="1"/>
    <col min="63" max="72" width="13.28515625" bestFit="1" customWidth="1"/>
    <col min="73" max="73" width="15.85546875" customWidth="1"/>
    <col min="74" max="74" width="14.42578125" bestFit="1" customWidth="1"/>
    <col min="75" max="84" width="13.28515625" bestFit="1" customWidth="1"/>
    <col min="85" max="85" width="15" customWidth="1"/>
  </cols>
  <sheetData>
    <row r="1" spans="1:130" ht="18">
      <c r="A1" s="140" t="s">
        <v>188</v>
      </c>
    </row>
    <row r="2" spans="1:130">
      <c r="A2" s="6" t="str">
        <f>CONCATENATE(Company, ": ",start, " -  ",end)</f>
        <v>Tourbr.com: Mês 1 -  Mês 60</v>
      </c>
    </row>
    <row r="3" spans="1:130" ht="15.75" thickBot="1"/>
    <row r="4" spans="1:130" ht="16.5" thickTop="1">
      <c r="A4" s="46" t="s">
        <v>149</v>
      </c>
      <c r="B4" s="49">
        <v>1</v>
      </c>
      <c r="C4" s="50">
        <v>2</v>
      </c>
      <c r="D4" s="49">
        <v>3</v>
      </c>
      <c r="E4" s="49">
        <v>4</v>
      </c>
      <c r="F4" s="50">
        <v>5</v>
      </c>
      <c r="G4" s="49">
        <v>6</v>
      </c>
      <c r="H4" s="49">
        <v>7</v>
      </c>
      <c r="I4" s="50">
        <v>8</v>
      </c>
      <c r="J4" s="49">
        <v>9</v>
      </c>
      <c r="K4" s="49">
        <v>10</v>
      </c>
      <c r="L4" s="50">
        <v>11</v>
      </c>
      <c r="M4" s="49">
        <v>12</v>
      </c>
      <c r="N4" s="49">
        <v>13</v>
      </c>
      <c r="O4" s="50">
        <v>14</v>
      </c>
      <c r="P4" s="49">
        <v>15</v>
      </c>
      <c r="Q4" s="49">
        <v>16</v>
      </c>
      <c r="R4" s="50">
        <v>17</v>
      </c>
      <c r="S4" s="49">
        <v>18</v>
      </c>
      <c r="T4" s="49">
        <v>19</v>
      </c>
      <c r="U4" s="50">
        <v>20</v>
      </c>
      <c r="V4" s="49">
        <v>21</v>
      </c>
      <c r="W4" s="49">
        <v>22</v>
      </c>
      <c r="X4" s="50">
        <v>23</v>
      </c>
      <c r="Y4" s="49">
        <v>24</v>
      </c>
      <c r="Z4" s="49">
        <v>25</v>
      </c>
      <c r="AA4" s="50">
        <v>26</v>
      </c>
      <c r="AB4" s="49">
        <v>27</v>
      </c>
      <c r="AC4" s="49">
        <v>28</v>
      </c>
      <c r="AD4" s="50">
        <v>29</v>
      </c>
      <c r="AE4" s="49">
        <v>30</v>
      </c>
      <c r="AF4" s="49">
        <v>31</v>
      </c>
      <c r="AG4" s="50">
        <v>32</v>
      </c>
      <c r="AH4" s="49">
        <v>33</v>
      </c>
      <c r="AI4" s="49">
        <v>34</v>
      </c>
      <c r="AJ4" s="50">
        <v>35</v>
      </c>
      <c r="AK4" s="49">
        <v>36</v>
      </c>
      <c r="AL4" s="49">
        <v>37</v>
      </c>
      <c r="AM4" s="50">
        <v>38</v>
      </c>
      <c r="AN4" s="49">
        <v>39</v>
      </c>
      <c r="AO4" s="49">
        <v>40</v>
      </c>
      <c r="AP4" s="50">
        <v>41</v>
      </c>
      <c r="AQ4" s="49">
        <v>42</v>
      </c>
      <c r="AR4" s="49">
        <v>43</v>
      </c>
      <c r="AS4" s="50">
        <v>44</v>
      </c>
      <c r="AT4" s="49">
        <v>45</v>
      </c>
      <c r="AU4" s="49">
        <v>46</v>
      </c>
      <c r="AV4" s="50">
        <v>47</v>
      </c>
      <c r="AW4" s="49">
        <v>48</v>
      </c>
      <c r="AX4" s="49">
        <v>49</v>
      </c>
      <c r="AY4" s="50">
        <v>50</v>
      </c>
      <c r="AZ4" s="49">
        <v>51</v>
      </c>
      <c r="BA4" s="49">
        <v>52</v>
      </c>
      <c r="BB4" s="50">
        <v>53</v>
      </c>
      <c r="BC4" s="49">
        <v>54</v>
      </c>
      <c r="BD4" s="49">
        <v>55</v>
      </c>
      <c r="BE4" s="50">
        <v>56</v>
      </c>
      <c r="BF4" s="49">
        <v>57</v>
      </c>
      <c r="BG4" s="49">
        <v>58</v>
      </c>
      <c r="BH4" s="50">
        <v>59</v>
      </c>
      <c r="BI4" s="75">
        <v>60</v>
      </c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</row>
    <row r="5" spans="1:130">
      <c r="A5" s="47" t="s">
        <v>153</v>
      </c>
      <c r="B5" s="52">
        <f>Premissas!B64</f>
        <v>11999.999999999998</v>
      </c>
      <c r="C5" s="52">
        <f>B5</f>
        <v>11999.999999999998</v>
      </c>
      <c r="D5" s="52">
        <f t="shared" ref="D5:M5" si="0">C5</f>
        <v>11999.999999999998</v>
      </c>
      <c r="E5" s="52">
        <f t="shared" si="0"/>
        <v>11999.999999999998</v>
      </c>
      <c r="F5" s="52">
        <f t="shared" si="0"/>
        <v>11999.999999999998</v>
      </c>
      <c r="G5" s="52">
        <f t="shared" si="0"/>
        <v>11999.999999999998</v>
      </c>
      <c r="H5" s="52">
        <f t="shared" si="0"/>
        <v>11999.999999999998</v>
      </c>
      <c r="I5" s="52">
        <f t="shared" si="0"/>
        <v>11999.999999999998</v>
      </c>
      <c r="J5" s="52">
        <f t="shared" si="0"/>
        <v>11999.999999999998</v>
      </c>
      <c r="K5" s="52">
        <f t="shared" si="0"/>
        <v>11999.999999999998</v>
      </c>
      <c r="L5" s="52">
        <f t="shared" si="0"/>
        <v>11999.999999999998</v>
      </c>
      <c r="M5" s="52">
        <f t="shared" si="0"/>
        <v>11999.999999999998</v>
      </c>
      <c r="N5" s="52">
        <f>Premissas!C64</f>
        <v>24181.818181818177</v>
      </c>
      <c r="O5" s="52">
        <f>N5</f>
        <v>24181.818181818177</v>
      </c>
      <c r="P5" s="52">
        <f t="shared" ref="P5:Y5" si="1">O5</f>
        <v>24181.818181818177</v>
      </c>
      <c r="Q5" s="52">
        <f t="shared" si="1"/>
        <v>24181.818181818177</v>
      </c>
      <c r="R5" s="52">
        <f t="shared" si="1"/>
        <v>24181.818181818177</v>
      </c>
      <c r="S5" s="52">
        <f t="shared" si="1"/>
        <v>24181.818181818177</v>
      </c>
      <c r="T5" s="52">
        <f t="shared" si="1"/>
        <v>24181.818181818177</v>
      </c>
      <c r="U5" s="52">
        <f t="shared" si="1"/>
        <v>24181.818181818177</v>
      </c>
      <c r="V5" s="52">
        <f t="shared" si="1"/>
        <v>24181.818181818177</v>
      </c>
      <c r="W5" s="52">
        <f t="shared" si="1"/>
        <v>24181.818181818177</v>
      </c>
      <c r="X5" s="52">
        <f t="shared" si="1"/>
        <v>24181.818181818177</v>
      </c>
      <c r="Y5" s="52">
        <f t="shared" si="1"/>
        <v>24181.818181818177</v>
      </c>
      <c r="Z5" s="52">
        <f>Premissas!D64</f>
        <v>32690.909090909088</v>
      </c>
      <c r="AA5" s="52">
        <f>Z5</f>
        <v>32690.909090909088</v>
      </c>
      <c r="AB5" s="52">
        <f t="shared" ref="AB5:AK5" si="2">AA5</f>
        <v>32690.909090909088</v>
      </c>
      <c r="AC5" s="52">
        <f t="shared" si="2"/>
        <v>32690.909090909088</v>
      </c>
      <c r="AD5" s="52">
        <f t="shared" si="2"/>
        <v>32690.909090909088</v>
      </c>
      <c r="AE5" s="52">
        <f t="shared" si="2"/>
        <v>32690.909090909088</v>
      </c>
      <c r="AF5" s="52">
        <f t="shared" si="2"/>
        <v>32690.909090909088</v>
      </c>
      <c r="AG5" s="52">
        <f t="shared" si="2"/>
        <v>32690.909090909088</v>
      </c>
      <c r="AH5" s="52">
        <f t="shared" si="2"/>
        <v>32690.909090909088</v>
      </c>
      <c r="AI5" s="52">
        <f t="shared" si="2"/>
        <v>32690.909090909088</v>
      </c>
      <c r="AJ5" s="52">
        <f t="shared" si="2"/>
        <v>32690.909090909088</v>
      </c>
      <c r="AK5" s="52">
        <f t="shared" si="2"/>
        <v>32690.909090909088</v>
      </c>
      <c r="AL5" s="52">
        <f>Premissas!E64</f>
        <v>50872.727272727272</v>
      </c>
      <c r="AM5" s="52">
        <f>AL5</f>
        <v>50872.727272727272</v>
      </c>
      <c r="AN5" s="52">
        <f t="shared" ref="AN5:AW5" si="3">AM5</f>
        <v>50872.727272727272</v>
      </c>
      <c r="AO5" s="52">
        <f t="shared" si="3"/>
        <v>50872.727272727272</v>
      </c>
      <c r="AP5" s="52">
        <f t="shared" si="3"/>
        <v>50872.727272727272</v>
      </c>
      <c r="AQ5" s="52">
        <f t="shared" si="3"/>
        <v>50872.727272727272</v>
      </c>
      <c r="AR5" s="52">
        <f t="shared" si="3"/>
        <v>50872.727272727272</v>
      </c>
      <c r="AS5" s="52">
        <f t="shared" si="3"/>
        <v>50872.727272727272</v>
      </c>
      <c r="AT5" s="52">
        <f t="shared" si="3"/>
        <v>50872.727272727272</v>
      </c>
      <c r="AU5" s="52">
        <f t="shared" si="3"/>
        <v>50872.727272727272</v>
      </c>
      <c r="AV5" s="52">
        <f t="shared" si="3"/>
        <v>50872.727272727272</v>
      </c>
      <c r="AW5" s="52">
        <f t="shared" si="3"/>
        <v>50872.727272727272</v>
      </c>
      <c r="AX5" s="52">
        <f>Premissas!F64</f>
        <v>94490.909090909088</v>
      </c>
      <c r="AY5" s="52">
        <f>AX5</f>
        <v>94490.909090909088</v>
      </c>
      <c r="AZ5" s="52">
        <f t="shared" ref="AZ5:BI5" si="4">AY5</f>
        <v>94490.909090909088</v>
      </c>
      <c r="BA5" s="52">
        <f t="shared" si="4"/>
        <v>94490.909090909088</v>
      </c>
      <c r="BB5" s="52">
        <f t="shared" si="4"/>
        <v>94490.909090909088</v>
      </c>
      <c r="BC5" s="52">
        <f t="shared" si="4"/>
        <v>94490.909090909088</v>
      </c>
      <c r="BD5" s="52">
        <f t="shared" si="4"/>
        <v>94490.909090909088</v>
      </c>
      <c r="BE5" s="52">
        <f t="shared" si="4"/>
        <v>94490.909090909088</v>
      </c>
      <c r="BF5" s="52">
        <f t="shared" si="4"/>
        <v>94490.909090909088</v>
      </c>
      <c r="BG5" s="52">
        <f t="shared" si="4"/>
        <v>94490.909090909088</v>
      </c>
      <c r="BH5" s="52">
        <f t="shared" si="4"/>
        <v>94490.909090909088</v>
      </c>
      <c r="BI5" s="73">
        <f t="shared" si="4"/>
        <v>94490.909090909088</v>
      </c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</row>
    <row r="6" spans="1:130">
      <c r="A6" s="51" t="s">
        <v>25</v>
      </c>
      <c r="B6" s="53">
        <f>B5</f>
        <v>11999.999999999998</v>
      </c>
      <c r="C6" s="53">
        <f t="shared" ref="C6:BI6" si="5">C5</f>
        <v>11999.999999999998</v>
      </c>
      <c r="D6" s="53">
        <f t="shared" si="5"/>
        <v>11999.999999999998</v>
      </c>
      <c r="E6" s="53">
        <f t="shared" si="5"/>
        <v>11999.999999999998</v>
      </c>
      <c r="F6" s="53">
        <f t="shared" si="5"/>
        <v>11999.999999999998</v>
      </c>
      <c r="G6" s="53">
        <f t="shared" si="5"/>
        <v>11999.999999999998</v>
      </c>
      <c r="H6" s="53">
        <f t="shared" si="5"/>
        <v>11999.999999999998</v>
      </c>
      <c r="I6" s="53">
        <f t="shared" si="5"/>
        <v>11999.999999999998</v>
      </c>
      <c r="J6" s="53">
        <f t="shared" si="5"/>
        <v>11999.999999999998</v>
      </c>
      <c r="K6" s="53">
        <f t="shared" si="5"/>
        <v>11999.999999999998</v>
      </c>
      <c r="L6" s="53">
        <f t="shared" si="5"/>
        <v>11999.999999999998</v>
      </c>
      <c r="M6" s="53">
        <f t="shared" si="5"/>
        <v>11999.999999999998</v>
      </c>
      <c r="N6" s="53">
        <f t="shared" si="5"/>
        <v>24181.818181818177</v>
      </c>
      <c r="O6" s="53">
        <f t="shared" si="5"/>
        <v>24181.818181818177</v>
      </c>
      <c r="P6" s="53">
        <f t="shared" si="5"/>
        <v>24181.818181818177</v>
      </c>
      <c r="Q6" s="53">
        <f t="shared" si="5"/>
        <v>24181.818181818177</v>
      </c>
      <c r="R6" s="53">
        <f t="shared" si="5"/>
        <v>24181.818181818177</v>
      </c>
      <c r="S6" s="53">
        <f t="shared" si="5"/>
        <v>24181.818181818177</v>
      </c>
      <c r="T6" s="53">
        <f t="shared" si="5"/>
        <v>24181.818181818177</v>
      </c>
      <c r="U6" s="53">
        <f t="shared" si="5"/>
        <v>24181.818181818177</v>
      </c>
      <c r="V6" s="53">
        <f t="shared" si="5"/>
        <v>24181.818181818177</v>
      </c>
      <c r="W6" s="53">
        <f t="shared" si="5"/>
        <v>24181.818181818177</v>
      </c>
      <c r="X6" s="53">
        <f t="shared" si="5"/>
        <v>24181.818181818177</v>
      </c>
      <c r="Y6" s="53">
        <f t="shared" si="5"/>
        <v>24181.818181818177</v>
      </c>
      <c r="Z6" s="53">
        <f t="shared" si="5"/>
        <v>32690.909090909088</v>
      </c>
      <c r="AA6" s="53">
        <f t="shared" si="5"/>
        <v>32690.909090909088</v>
      </c>
      <c r="AB6" s="53">
        <f t="shared" si="5"/>
        <v>32690.909090909088</v>
      </c>
      <c r="AC6" s="53">
        <f t="shared" si="5"/>
        <v>32690.909090909088</v>
      </c>
      <c r="AD6" s="53">
        <f t="shared" si="5"/>
        <v>32690.909090909088</v>
      </c>
      <c r="AE6" s="53">
        <f t="shared" si="5"/>
        <v>32690.909090909088</v>
      </c>
      <c r="AF6" s="53">
        <f t="shared" si="5"/>
        <v>32690.909090909088</v>
      </c>
      <c r="AG6" s="53">
        <f t="shared" si="5"/>
        <v>32690.909090909088</v>
      </c>
      <c r="AH6" s="53">
        <f t="shared" si="5"/>
        <v>32690.909090909088</v>
      </c>
      <c r="AI6" s="53">
        <f t="shared" si="5"/>
        <v>32690.909090909088</v>
      </c>
      <c r="AJ6" s="53">
        <f t="shared" si="5"/>
        <v>32690.909090909088</v>
      </c>
      <c r="AK6" s="53">
        <f t="shared" si="5"/>
        <v>32690.909090909088</v>
      </c>
      <c r="AL6" s="53">
        <f t="shared" si="5"/>
        <v>50872.727272727272</v>
      </c>
      <c r="AM6" s="53">
        <f t="shared" si="5"/>
        <v>50872.727272727272</v>
      </c>
      <c r="AN6" s="53">
        <f t="shared" si="5"/>
        <v>50872.727272727272</v>
      </c>
      <c r="AO6" s="53">
        <f t="shared" si="5"/>
        <v>50872.727272727272</v>
      </c>
      <c r="AP6" s="53">
        <f t="shared" si="5"/>
        <v>50872.727272727272</v>
      </c>
      <c r="AQ6" s="53">
        <f t="shared" si="5"/>
        <v>50872.727272727272</v>
      </c>
      <c r="AR6" s="53">
        <f t="shared" si="5"/>
        <v>50872.727272727272</v>
      </c>
      <c r="AS6" s="53">
        <f t="shared" si="5"/>
        <v>50872.727272727272</v>
      </c>
      <c r="AT6" s="53">
        <f t="shared" si="5"/>
        <v>50872.727272727272</v>
      </c>
      <c r="AU6" s="53">
        <f t="shared" si="5"/>
        <v>50872.727272727272</v>
      </c>
      <c r="AV6" s="53">
        <f t="shared" si="5"/>
        <v>50872.727272727272</v>
      </c>
      <c r="AW6" s="53">
        <f t="shared" si="5"/>
        <v>50872.727272727272</v>
      </c>
      <c r="AX6" s="53">
        <f t="shared" si="5"/>
        <v>94490.909090909088</v>
      </c>
      <c r="AY6" s="53">
        <f t="shared" si="5"/>
        <v>94490.909090909088</v>
      </c>
      <c r="AZ6" s="53">
        <f t="shared" si="5"/>
        <v>94490.909090909088</v>
      </c>
      <c r="BA6" s="53">
        <f t="shared" si="5"/>
        <v>94490.909090909088</v>
      </c>
      <c r="BB6" s="53">
        <f t="shared" si="5"/>
        <v>94490.909090909088</v>
      </c>
      <c r="BC6" s="53">
        <f t="shared" si="5"/>
        <v>94490.909090909088</v>
      </c>
      <c r="BD6" s="53">
        <f t="shared" si="5"/>
        <v>94490.909090909088</v>
      </c>
      <c r="BE6" s="53">
        <f t="shared" si="5"/>
        <v>94490.909090909088</v>
      </c>
      <c r="BF6" s="53">
        <f t="shared" si="5"/>
        <v>94490.909090909088</v>
      </c>
      <c r="BG6" s="53">
        <f t="shared" si="5"/>
        <v>94490.909090909088</v>
      </c>
      <c r="BH6" s="53">
        <f t="shared" si="5"/>
        <v>94490.909090909088</v>
      </c>
      <c r="BI6" s="53">
        <f t="shared" si="5"/>
        <v>94490.909090909088</v>
      </c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</row>
    <row r="7" spans="1:130" ht="15.75" thickBot="1"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</row>
    <row r="8" spans="1:130" ht="16.5" thickTop="1">
      <c r="A8" s="69" t="s">
        <v>150</v>
      </c>
      <c r="B8" s="70">
        <v>1</v>
      </c>
      <c r="C8" s="71">
        <v>2</v>
      </c>
      <c r="D8" s="70">
        <v>3</v>
      </c>
      <c r="E8" s="70">
        <v>4</v>
      </c>
      <c r="F8" s="71">
        <v>5</v>
      </c>
      <c r="G8" s="70">
        <v>6</v>
      </c>
      <c r="H8" s="70">
        <v>7</v>
      </c>
      <c r="I8" s="71">
        <v>8</v>
      </c>
      <c r="J8" s="70">
        <v>9</v>
      </c>
      <c r="K8" s="70">
        <v>10</v>
      </c>
      <c r="L8" s="71">
        <v>11</v>
      </c>
      <c r="M8" s="70">
        <v>12</v>
      </c>
      <c r="N8" s="70">
        <v>13</v>
      </c>
      <c r="O8" s="71">
        <v>14</v>
      </c>
      <c r="P8" s="70">
        <v>15</v>
      </c>
      <c r="Q8" s="70">
        <v>16</v>
      </c>
      <c r="R8" s="71">
        <v>17</v>
      </c>
      <c r="S8" s="70">
        <v>18</v>
      </c>
      <c r="T8" s="70">
        <v>19</v>
      </c>
      <c r="U8" s="71">
        <v>20</v>
      </c>
      <c r="V8" s="70">
        <v>21</v>
      </c>
      <c r="W8" s="70">
        <v>22</v>
      </c>
      <c r="X8" s="71">
        <v>23</v>
      </c>
      <c r="Y8" s="70">
        <v>24</v>
      </c>
      <c r="Z8" s="70">
        <v>25</v>
      </c>
      <c r="AA8" s="71">
        <v>26</v>
      </c>
      <c r="AB8" s="70">
        <v>27</v>
      </c>
      <c r="AC8" s="70">
        <v>28</v>
      </c>
      <c r="AD8" s="71">
        <v>29</v>
      </c>
      <c r="AE8" s="70">
        <v>30</v>
      </c>
      <c r="AF8" s="70">
        <v>31</v>
      </c>
      <c r="AG8" s="71">
        <v>32</v>
      </c>
      <c r="AH8" s="70">
        <v>33</v>
      </c>
      <c r="AI8" s="70">
        <v>34</v>
      </c>
      <c r="AJ8" s="71">
        <v>35</v>
      </c>
      <c r="AK8" s="70">
        <v>36</v>
      </c>
      <c r="AL8" s="70">
        <v>37</v>
      </c>
      <c r="AM8" s="71">
        <v>38</v>
      </c>
      <c r="AN8" s="70">
        <v>39</v>
      </c>
      <c r="AO8" s="70">
        <v>40</v>
      </c>
      <c r="AP8" s="71">
        <v>41</v>
      </c>
      <c r="AQ8" s="70">
        <v>42</v>
      </c>
      <c r="AR8" s="70">
        <v>43</v>
      </c>
      <c r="AS8" s="71">
        <v>44</v>
      </c>
      <c r="AT8" s="70">
        <v>45</v>
      </c>
      <c r="AU8" s="70">
        <v>46</v>
      </c>
      <c r="AV8" s="71">
        <v>47</v>
      </c>
      <c r="AW8" s="70">
        <v>48</v>
      </c>
      <c r="AX8" s="70">
        <v>49</v>
      </c>
      <c r="AY8" s="71">
        <v>50</v>
      </c>
      <c r="AZ8" s="70">
        <v>51</v>
      </c>
      <c r="BA8" s="70">
        <v>52</v>
      </c>
      <c r="BB8" s="71">
        <v>53</v>
      </c>
      <c r="BC8" s="70">
        <v>54</v>
      </c>
      <c r="BD8" s="70">
        <v>55</v>
      </c>
      <c r="BE8" s="71">
        <v>56</v>
      </c>
      <c r="BF8" s="70">
        <v>57</v>
      </c>
      <c r="BG8" s="70">
        <v>58</v>
      </c>
      <c r="BH8" s="71">
        <v>59</v>
      </c>
      <c r="BI8" s="108">
        <v>60</v>
      </c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</row>
    <row r="9" spans="1:130" s="45" customFormat="1">
      <c r="A9" s="72" t="s">
        <v>156</v>
      </c>
      <c r="B9" s="52">
        <f>Premissas!B29</f>
        <v>500</v>
      </c>
      <c r="C9" s="52">
        <f>B9</f>
        <v>500</v>
      </c>
      <c r="D9" s="52">
        <f t="shared" ref="D9:M9" si="6">C9</f>
        <v>500</v>
      </c>
      <c r="E9" s="52">
        <f t="shared" si="6"/>
        <v>500</v>
      </c>
      <c r="F9" s="52">
        <f t="shared" si="6"/>
        <v>500</v>
      </c>
      <c r="G9" s="52">
        <f t="shared" si="6"/>
        <v>500</v>
      </c>
      <c r="H9" s="52">
        <f t="shared" si="6"/>
        <v>500</v>
      </c>
      <c r="I9" s="52">
        <f t="shared" si="6"/>
        <v>500</v>
      </c>
      <c r="J9" s="52">
        <f t="shared" si="6"/>
        <v>500</v>
      </c>
      <c r="K9" s="52">
        <f t="shared" si="6"/>
        <v>500</v>
      </c>
      <c r="L9" s="52">
        <f t="shared" si="6"/>
        <v>500</v>
      </c>
      <c r="M9" s="52">
        <f t="shared" si="6"/>
        <v>500</v>
      </c>
      <c r="N9" s="52">
        <f>Premissas!C29</f>
        <v>1920</v>
      </c>
      <c r="O9" s="52">
        <f>N9</f>
        <v>1920</v>
      </c>
      <c r="P9" s="52">
        <f t="shared" ref="P9:Y9" si="7">O9</f>
        <v>1920</v>
      </c>
      <c r="Q9" s="52">
        <f t="shared" si="7"/>
        <v>1920</v>
      </c>
      <c r="R9" s="52">
        <f t="shared" si="7"/>
        <v>1920</v>
      </c>
      <c r="S9" s="52">
        <f t="shared" si="7"/>
        <v>1920</v>
      </c>
      <c r="T9" s="52">
        <f t="shared" si="7"/>
        <v>1920</v>
      </c>
      <c r="U9" s="52">
        <f t="shared" si="7"/>
        <v>1920</v>
      </c>
      <c r="V9" s="52">
        <f t="shared" si="7"/>
        <v>1920</v>
      </c>
      <c r="W9" s="52">
        <f t="shared" si="7"/>
        <v>1920</v>
      </c>
      <c r="X9" s="52">
        <f t="shared" si="7"/>
        <v>1920</v>
      </c>
      <c r="Y9" s="52">
        <f t="shared" si="7"/>
        <v>1920</v>
      </c>
      <c r="Z9" s="52">
        <f>Premissas!D29</f>
        <v>3840</v>
      </c>
      <c r="AA9" s="52">
        <f>Z9</f>
        <v>3840</v>
      </c>
      <c r="AB9" s="52">
        <f t="shared" ref="AB9:AK9" si="8">AA9</f>
        <v>3840</v>
      </c>
      <c r="AC9" s="52">
        <f t="shared" si="8"/>
        <v>3840</v>
      </c>
      <c r="AD9" s="52">
        <f t="shared" si="8"/>
        <v>3840</v>
      </c>
      <c r="AE9" s="52">
        <f t="shared" si="8"/>
        <v>3840</v>
      </c>
      <c r="AF9" s="52">
        <f t="shared" si="8"/>
        <v>3840</v>
      </c>
      <c r="AG9" s="52">
        <f t="shared" si="8"/>
        <v>3840</v>
      </c>
      <c r="AH9" s="52">
        <f t="shared" si="8"/>
        <v>3840</v>
      </c>
      <c r="AI9" s="52">
        <f t="shared" si="8"/>
        <v>3840</v>
      </c>
      <c r="AJ9" s="52">
        <f t="shared" si="8"/>
        <v>3840</v>
      </c>
      <c r="AK9" s="52">
        <f t="shared" si="8"/>
        <v>3840</v>
      </c>
      <c r="AL9" s="52">
        <f>Premissas!E29</f>
        <v>6240</v>
      </c>
      <c r="AM9" s="52">
        <f>AL9</f>
        <v>6240</v>
      </c>
      <c r="AN9" s="52">
        <f t="shared" ref="AN9:AW9" si="9">AM9</f>
        <v>6240</v>
      </c>
      <c r="AO9" s="52">
        <f t="shared" si="9"/>
        <v>6240</v>
      </c>
      <c r="AP9" s="52">
        <f t="shared" si="9"/>
        <v>6240</v>
      </c>
      <c r="AQ9" s="52">
        <f t="shared" si="9"/>
        <v>6240</v>
      </c>
      <c r="AR9" s="52">
        <f t="shared" si="9"/>
        <v>6240</v>
      </c>
      <c r="AS9" s="52">
        <f t="shared" si="9"/>
        <v>6240</v>
      </c>
      <c r="AT9" s="52">
        <f t="shared" si="9"/>
        <v>6240</v>
      </c>
      <c r="AU9" s="52">
        <f t="shared" si="9"/>
        <v>6240</v>
      </c>
      <c r="AV9" s="52">
        <f t="shared" si="9"/>
        <v>6240</v>
      </c>
      <c r="AW9" s="52">
        <f t="shared" si="9"/>
        <v>6240</v>
      </c>
      <c r="AX9" s="52">
        <f>Premissas!F29</f>
        <v>9600</v>
      </c>
      <c r="AY9" s="52">
        <f>AX9</f>
        <v>9600</v>
      </c>
      <c r="AZ9" s="52">
        <f t="shared" ref="AZ9:BI9" si="10">AY9</f>
        <v>9600</v>
      </c>
      <c r="BA9" s="52">
        <f t="shared" si="10"/>
        <v>9600</v>
      </c>
      <c r="BB9" s="52">
        <f t="shared" si="10"/>
        <v>9600</v>
      </c>
      <c r="BC9" s="52">
        <f t="shared" si="10"/>
        <v>9600</v>
      </c>
      <c r="BD9" s="52">
        <f t="shared" si="10"/>
        <v>9600</v>
      </c>
      <c r="BE9" s="52">
        <f t="shared" si="10"/>
        <v>9600</v>
      </c>
      <c r="BF9" s="52">
        <f t="shared" si="10"/>
        <v>9600</v>
      </c>
      <c r="BG9" s="52">
        <f t="shared" si="10"/>
        <v>9600</v>
      </c>
      <c r="BH9" s="52">
        <f t="shared" si="10"/>
        <v>9600</v>
      </c>
      <c r="BI9" s="73">
        <f t="shared" si="10"/>
        <v>9600</v>
      </c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109"/>
    </row>
    <row r="10" spans="1:130">
      <c r="A10" s="51" t="s">
        <v>25</v>
      </c>
      <c r="B10" s="53">
        <f>B9</f>
        <v>500</v>
      </c>
      <c r="C10" s="53">
        <f t="shared" ref="C10:BI10" si="11">C9</f>
        <v>500</v>
      </c>
      <c r="D10" s="53">
        <f t="shared" si="11"/>
        <v>500</v>
      </c>
      <c r="E10" s="53">
        <f t="shared" si="11"/>
        <v>500</v>
      </c>
      <c r="F10" s="53">
        <f t="shared" si="11"/>
        <v>500</v>
      </c>
      <c r="G10" s="53">
        <f t="shared" si="11"/>
        <v>500</v>
      </c>
      <c r="H10" s="53">
        <f t="shared" si="11"/>
        <v>500</v>
      </c>
      <c r="I10" s="53">
        <f t="shared" si="11"/>
        <v>500</v>
      </c>
      <c r="J10" s="53">
        <f t="shared" si="11"/>
        <v>500</v>
      </c>
      <c r="K10" s="53">
        <f t="shared" si="11"/>
        <v>500</v>
      </c>
      <c r="L10" s="53">
        <f t="shared" si="11"/>
        <v>500</v>
      </c>
      <c r="M10" s="53">
        <f t="shared" si="11"/>
        <v>500</v>
      </c>
      <c r="N10" s="53">
        <f t="shared" si="11"/>
        <v>1920</v>
      </c>
      <c r="O10" s="53">
        <f t="shared" si="11"/>
        <v>1920</v>
      </c>
      <c r="P10" s="53">
        <f t="shared" si="11"/>
        <v>1920</v>
      </c>
      <c r="Q10" s="53">
        <f t="shared" si="11"/>
        <v>1920</v>
      </c>
      <c r="R10" s="53">
        <f t="shared" si="11"/>
        <v>1920</v>
      </c>
      <c r="S10" s="53">
        <f t="shared" si="11"/>
        <v>1920</v>
      </c>
      <c r="T10" s="53">
        <f t="shared" si="11"/>
        <v>1920</v>
      </c>
      <c r="U10" s="53">
        <f t="shared" si="11"/>
        <v>1920</v>
      </c>
      <c r="V10" s="53">
        <f t="shared" si="11"/>
        <v>1920</v>
      </c>
      <c r="W10" s="53">
        <f t="shared" si="11"/>
        <v>1920</v>
      </c>
      <c r="X10" s="53">
        <f t="shared" si="11"/>
        <v>1920</v>
      </c>
      <c r="Y10" s="53">
        <f t="shared" si="11"/>
        <v>1920</v>
      </c>
      <c r="Z10" s="53">
        <f t="shared" si="11"/>
        <v>3840</v>
      </c>
      <c r="AA10" s="53">
        <f t="shared" si="11"/>
        <v>3840</v>
      </c>
      <c r="AB10" s="53">
        <f t="shared" si="11"/>
        <v>3840</v>
      </c>
      <c r="AC10" s="53">
        <f t="shared" si="11"/>
        <v>3840</v>
      </c>
      <c r="AD10" s="53">
        <f t="shared" si="11"/>
        <v>3840</v>
      </c>
      <c r="AE10" s="53">
        <f t="shared" si="11"/>
        <v>3840</v>
      </c>
      <c r="AF10" s="53">
        <f t="shared" si="11"/>
        <v>3840</v>
      </c>
      <c r="AG10" s="53">
        <f t="shared" si="11"/>
        <v>3840</v>
      </c>
      <c r="AH10" s="53">
        <f t="shared" si="11"/>
        <v>3840</v>
      </c>
      <c r="AI10" s="53">
        <f t="shared" si="11"/>
        <v>3840</v>
      </c>
      <c r="AJ10" s="53">
        <f t="shared" si="11"/>
        <v>3840</v>
      </c>
      <c r="AK10" s="53">
        <f t="shared" si="11"/>
        <v>3840</v>
      </c>
      <c r="AL10" s="53">
        <f t="shared" si="11"/>
        <v>6240</v>
      </c>
      <c r="AM10" s="53">
        <f t="shared" si="11"/>
        <v>6240</v>
      </c>
      <c r="AN10" s="53">
        <f t="shared" si="11"/>
        <v>6240</v>
      </c>
      <c r="AO10" s="53">
        <f t="shared" si="11"/>
        <v>6240</v>
      </c>
      <c r="AP10" s="53">
        <f t="shared" si="11"/>
        <v>6240</v>
      </c>
      <c r="AQ10" s="53">
        <f t="shared" si="11"/>
        <v>6240</v>
      </c>
      <c r="AR10" s="53">
        <f t="shared" si="11"/>
        <v>6240</v>
      </c>
      <c r="AS10" s="53">
        <f t="shared" si="11"/>
        <v>6240</v>
      </c>
      <c r="AT10" s="53">
        <f t="shared" si="11"/>
        <v>6240</v>
      </c>
      <c r="AU10" s="53">
        <f t="shared" si="11"/>
        <v>6240</v>
      </c>
      <c r="AV10" s="53">
        <f t="shared" si="11"/>
        <v>6240</v>
      </c>
      <c r="AW10" s="53">
        <f t="shared" si="11"/>
        <v>6240</v>
      </c>
      <c r="AX10" s="53">
        <f t="shared" si="11"/>
        <v>9600</v>
      </c>
      <c r="AY10" s="53">
        <f t="shared" si="11"/>
        <v>9600</v>
      </c>
      <c r="AZ10" s="53">
        <f t="shared" si="11"/>
        <v>9600</v>
      </c>
      <c r="BA10" s="53">
        <f t="shared" si="11"/>
        <v>9600</v>
      </c>
      <c r="BB10" s="53">
        <f t="shared" si="11"/>
        <v>9600</v>
      </c>
      <c r="BC10" s="53">
        <f t="shared" si="11"/>
        <v>9600</v>
      </c>
      <c r="BD10" s="53">
        <f t="shared" si="11"/>
        <v>9600</v>
      </c>
      <c r="BE10" s="53">
        <f t="shared" si="11"/>
        <v>9600</v>
      </c>
      <c r="BF10" s="53">
        <f t="shared" si="11"/>
        <v>9600</v>
      </c>
      <c r="BG10" s="53">
        <f t="shared" si="11"/>
        <v>9600</v>
      </c>
      <c r="BH10" s="53">
        <f t="shared" si="11"/>
        <v>9600</v>
      </c>
      <c r="BI10" s="53">
        <f t="shared" si="11"/>
        <v>9600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</row>
    <row r="11" spans="1:130" s="58" customFormat="1" ht="15.75" thickBot="1">
      <c r="A11" s="102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</row>
    <row r="12" spans="1:130" ht="16.5" thickTop="1">
      <c r="A12" s="69" t="s">
        <v>151</v>
      </c>
      <c r="B12" s="70">
        <v>1</v>
      </c>
      <c r="C12" s="71">
        <v>2</v>
      </c>
      <c r="D12" s="70">
        <v>3</v>
      </c>
      <c r="E12" s="70">
        <v>4</v>
      </c>
      <c r="F12" s="71">
        <v>5</v>
      </c>
      <c r="G12" s="70">
        <v>6</v>
      </c>
      <c r="H12" s="70">
        <v>7</v>
      </c>
      <c r="I12" s="71">
        <v>8</v>
      </c>
      <c r="J12" s="70">
        <v>9</v>
      </c>
      <c r="K12" s="70">
        <v>10</v>
      </c>
      <c r="L12" s="71">
        <v>11</v>
      </c>
      <c r="M12" s="70">
        <v>12</v>
      </c>
      <c r="N12" s="70">
        <v>13</v>
      </c>
      <c r="O12" s="71">
        <v>14</v>
      </c>
      <c r="P12" s="70">
        <v>15</v>
      </c>
      <c r="Q12" s="70">
        <v>16</v>
      </c>
      <c r="R12" s="71">
        <v>17</v>
      </c>
      <c r="S12" s="70">
        <v>18</v>
      </c>
      <c r="T12" s="70">
        <v>19</v>
      </c>
      <c r="U12" s="71">
        <v>20</v>
      </c>
      <c r="V12" s="70">
        <v>21</v>
      </c>
      <c r="W12" s="70">
        <v>22</v>
      </c>
      <c r="X12" s="71">
        <v>23</v>
      </c>
      <c r="Y12" s="70">
        <v>24</v>
      </c>
      <c r="Z12" s="70">
        <v>25</v>
      </c>
      <c r="AA12" s="71">
        <v>26</v>
      </c>
      <c r="AB12" s="70">
        <v>27</v>
      </c>
      <c r="AC12" s="70">
        <v>28</v>
      </c>
      <c r="AD12" s="71">
        <v>29</v>
      </c>
      <c r="AE12" s="70">
        <v>30</v>
      </c>
      <c r="AF12" s="70">
        <v>31</v>
      </c>
      <c r="AG12" s="71">
        <v>32</v>
      </c>
      <c r="AH12" s="70">
        <v>33</v>
      </c>
      <c r="AI12" s="70">
        <v>34</v>
      </c>
      <c r="AJ12" s="71">
        <v>35</v>
      </c>
      <c r="AK12" s="70">
        <v>36</v>
      </c>
      <c r="AL12" s="70">
        <v>37</v>
      </c>
      <c r="AM12" s="71">
        <v>38</v>
      </c>
      <c r="AN12" s="70">
        <v>39</v>
      </c>
      <c r="AO12" s="70">
        <v>40</v>
      </c>
      <c r="AP12" s="71">
        <v>41</v>
      </c>
      <c r="AQ12" s="70">
        <v>42</v>
      </c>
      <c r="AR12" s="70">
        <v>43</v>
      </c>
      <c r="AS12" s="71">
        <v>44</v>
      </c>
      <c r="AT12" s="70">
        <v>45</v>
      </c>
      <c r="AU12" s="70">
        <v>46</v>
      </c>
      <c r="AV12" s="71">
        <v>47</v>
      </c>
      <c r="AW12" s="70">
        <v>48</v>
      </c>
      <c r="AX12" s="70">
        <v>49</v>
      </c>
      <c r="AY12" s="71">
        <v>50</v>
      </c>
      <c r="AZ12" s="70">
        <v>51</v>
      </c>
      <c r="BA12" s="70">
        <v>52</v>
      </c>
      <c r="BB12" s="71">
        <v>53</v>
      </c>
      <c r="BC12" s="70">
        <v>54</v>
      </c>
      <c r="BD12" s="70">
        <v>55</v>
      </c>
      <c r="BE12" s="71">
        <v>56</v>
      </c>
      <c r="BF12" s="70">
        <v>57</v>
      </c>
      <c r="BG12" s="70">
        <v>58</v>
      </c>
      <c r="BH12" s="71">
        <v>59</v>
      </c>
      <c r="BI12" s="108">
        <v>60</v>
      </c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</row>
    <row r="13" spans="1:130" s="45" customFormat="1">
      <c r="A13" s="72" t="s">
        <v>154</v>
      </c>
      <c r="B13" s="52">
        <f>Premissas!B66</f>
        <v>10666.666666666666</v>
      </c>
      <c r="C13" s="52">
        <f>B13</f>
        <v>10666.666666666666</v>
      </c>
      <c r="D13" s="52">
        <f t="shared" ref="D13:M13" si="12">C13</f>
        <v>10666.666666666666</v>
      </c>
      <c r="E13" s="52">
        <f t="shared" si="12"/>
        <v>10666.666666666666</v>
      </c>
      <c r="F13" s="52">
        <f t="shared" si="12"/>
        <v>10666.666666666666</v>
      </c>
      <c r="G13" s="52">
        <f t="shared" si="12"/>
        <v>10666.666666666666</v>
      </c>
      <c r="H13" s="52">
        <f t="shared" si="12"/>
        <v>10666.666666666666</v>
      </c>
      <c r="I13" s="52">
        <f t="shared" si="12"/>
        <v>10666.666666666666</v>
      </c>
      <c r="J13" s="52">
        <f t="shared" si="12"/>
        <v>10666.666666666666</v>
      </c>
      <c r="K13" s="52">
        <f t="shared" si="12"/>
        <v>10666.666666666666</v>
      </c>
      <c r="L13" s="52">
        <f t="shared" si="12"/>
        <v>10666.666666666666</v>
      </c>
      <c r="M13" s="52">
        <f t="shared" si="12"/>
        <v>10666.666666666666</v>
      </c>
      <c r="N13" s="52">
        <f>Premissas!C66</f>
        <v>23563.636363636364</v>
      </c>
      <c r="O13" s="52">
        <f>N13</f>
        <v>23563.636363636364</v>
      </c>
      <c r="P13" s="52">
        <f t="shared" ref="P13:Y13" si="13">O13</f>
        <v>23563.636363636364</v>
      </c>
      <c r="Q13" s="52">
        <f t="shared" si="13"/>
        <v>23563.636363636364</v>
      </c>
      <c r="R13" s="52">
        <f t="shared" si="13"/>
        <v>23563.636363636364</v>
      </c>
      <c r="S13" s="52">
        <f t="shared" si="13"/>
        <v>23563.636363636364</v>
      </c>
      <c r="T13" s="52">
        <f t="shared" si="13"/>
        <v>23563.636363636364</v>
      </c>
      <c r="U13" s="52">
        <f t="shared" si="13"/>
        <v>23563.636363636364</v>
      </c>
      <c r="V13" s="52">
        <f t="shared" si="13"/>
        <v>23563.636363636364</v>
      </c>
      <c r="W13" s="52">
        <f t="shared" si="13"/>
        <v>23563.636363636364</v>
      </c>
      <c r="X13" s="52">
        <f t="shared" si="13"/>
        <v>23563.636363636364</v>
      </c>
      <c r="Y13" s="52">
        <f t="shared" si="13"/>
        <v>23563.636363636364</v>
      </c>
      <c r="Z13" s="52">
        <f>Premissas!D66</f>
        <v>40998.78787878788</v>
      </c>
      <c r="AA13" s="52">
        <f>Z13</f>
        <v>40998.78787878788</v>
      </c>
      <c r="AB13" s="52">
        <f t="shared" ref="AB13:AK13" si="14">AA13</f>
        <v>40998.78787878788</v>
      </c>
      <c r="AC13" s="52">
        <f t="shared" si="14"/>
        <v>40998.78787878788</v>
      </c>
      <c r="AD13" s="52">
        <f t="shared" si="14"/>
        <v>40998.78787878788</v>
      </c>
      <c r="AE13" s="52">
        <f t="shared" si="14"/>
        <v>40998.78787878788</v>
      </c>
      <c r="AF13" s="52">
        <f t="shared" si="14"/>
        <v>40998.78787878788</v>
      </c>
      <c r="AG13" s="52">
        <f t="shared" si="14"/>
        <v>40998.78787878788</v>
      </c>
      <c r="AH13" s="52">
        <f t="shared" si="14"/>
        <v>40998.78787878788</v>
      </c>
      <c r="AI13" s="52">
        <f t="shared" si="14"/>
        <v>40998.78787878788</v>
      </c>
      <c r="AJ13" s="52">
        <f t="shared" si="14"/>
        <v>40998.78787878788</v>
      </c>
      <c r="AK13" s="52">
        <f t="shared" si="14"/>
        <v>40998.78787878788</v>
      </c>
      <c r="AL13" s="52">
        <f>Premissas!E66</f>
        <v>68130.909090909088</v>
      </c>
      <c r="AM13" s="52">
        <f>AL13</f>
        <v>68130.909090909088</v>
      </c>
      <c r="AN13" s="52">
        <f t="shared" ref="AN13:AW13" si="15">AM13</f>
        <v>68130.909090909088</v>
      </c>
      <c r="AO13" s="52">
        <f t="shared" si="15"/>
        <v>68130.909090909088</v>
      </c>
      <c r="AP13" s="52">
        <f t="shared" si="15"/>
        <v>68130.909090909088</v>
      </c>
      <c r="AQ13" s="52">
        <f t="shared" si="15"/>
        <v>68130.909090909088</v>
      </c>
      <c r="AR13" s="52">
        <f t="shared" si="15"/>
        <v>68130.909090909088</v>
      </c>
      <c r="AS13" s="52">
        <f t="shared" si="15"/>
        <v>68130.909090909088</v>
      </c>
      <c r="AT13" s="52">
        <f t="shared" si="15"/>
        <v>68130.909090909088</v>
      </c>
      <c r="AU13" s="52">
        <f t="shared" si="15"/>
        <v>68130.909090909088</v>
      </c>
      <c r="AV13" s="52">
        <f t="shared" si="15"/>
        <v>68130.909090909088</v>
      </c>
      <c r="AW13" s="52">
        <f t="shared" si="15"/>
        <v>68130.909090909088</v>
      </c>
      <c r="AX13" s="52">
        <f>Premissas!F66</f>
        <v>105927.27272727272</v>
      </c>
      <c r="AY13" s="52">
        <f>AX13</f>
        <v>105927.27272727272</v>
      </c>
      <c r="AZ13" s="52">
        <f t="shared" ref="AZ13:BI13" si="16">AY13</f>
        <v>105927.27272727272</v>
      </c>
      <c r="BA13" s="52">
        <f t="shared" si="16"/>
        <v>105927.27272727272</v>
      </c>
      <c r="BB13" s="52">
        <f t="shared" si="16"/>
        <v>105927.27272727272</v>
      </c>
      <c r="BC13" s="52">
        <f t="shared" si="16"/>
        <v>105927.27272727272</v>
      </c>
      <c r="BD13" s="52">
        <f t="shared" si="16"/>
        <v>105927.27272727272</v>
      </c>
      <c r="BE13" s="52">
        <f t="shared" si="16"/>
        <v>105927.27272727272</v>
      </c>
      <c r="BF13" s="52">
        <f t="shared" si="16"/>
        <v>105927.27272727272</v>
      </c>
      <c r="BG13" s="52">
        <f t="shared" si="16"/>
        <v>105927.27272727272</v>
      </c>
      <c r="BH13" s="52">
        <f t="shared" si="16"/>
        <v>105927.27272727272</v>
      </c>
      <c r="BI13" s="73">
        <f t="shared" si="16"/>
        <v>105927.27272727272</v>
      </c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109"/>
    </row>
    <row r="14" spans="1:130">
      <c r="A14" s="51" t="s">
        <v>25</v>
      </c>
      <c r="B14" s="53">
        <f>B13</f>
        <v>10666.666666666666</v>
      </c>
      <c r="C14" s="53">
        <f t="shared" ref="C14:BI14" si="17">C13</f>
        <v>10666.666666666666</v>
      </c>
      <c r="D14" s="53">
        <f t="shared" si="17"/>
        <v>10666.666666666666</v>
      </c>
      <c r="E14" s="53">
        <f t="shared" si="17"/>
        <v>10666.666666666666</v>
      </c>
      <c r="F14" s="53">
        <f t="shared" si="17"/>
        <v>10666.666666666666</v>
      </c>
      <c r="G14" s="53">
        <f t="shared" si="17"/>
        <v>10666.666666666666</v>
      </c>
      <c r="H14" s="53">
        <f t="shared" si="17"/>
        <v>10666.666666666666</v>
      </c>
      <c r="I14" s="53">
        <f t="shared" si="17"/>
        <v>10666.666666666666</v>
      </c>
      <c r="J14" s="53">
        <f t="shared" si="17"/>
        <v>10666.666666666666</v>
      </c>
      <c r="K14" s="53">
        <f t="shared" si="17"/>
        <v>10666.666666666666</v>
      </c>
      <c r="L14" s="53">
        <f t="shared" si="17"/>
        <v>10666.666666666666</v>
      </c>
      <c r="M14" s="53">
        <f t="shared" si="17"/>
        <v>10666.666666666666</v>
      </c>
      <c r="N14" s="53">
        <f t="shared" si="17"/>
        <v>23563.636363636364</v>
      </c>
      <c r="O14" s="53">
        <f t="shared" si="17"/>
        <v>23563.636363636364</v>
      </c>
      <c r="P14" s="53">
        <f t="shared" si="17"/>
        <v>23563.636363636364</v>
      </c>
      <c r="Q14" s="53">
        <f t="shared" si="17"/>
        <v>23563.636363636364</v>
      </c>
      <c r="R14" s="53">
        <f t="shared" si="17"/>
        <v>23563.636363636364</v>
      </c>
      <c r="S14" s="53">
        <f t="shared" si="17"/>
        <v>23563.636363636364</v>
      </c>
      <c r="T14" s="53">
        <f t="shared" si="17"/>
        <v>23563.636363636364</v>
      </c>
      <c r="U14" s="53">
        <f t="shared" si="17"/>
        <v>23563.636363636364</v>
      </c>
      <c r="V14" s="53">
        <f t="shared" si="17"/>
        <v>23563.636363636364</v>
      </c>
      <c r="W14" s="53">
        <f t="shared" si="17"/>
        <v>23563.636363636364</v>
      </c>
      <c r="X14" s="53">
        <f t="shared" si="17"/>
        <v>23563.636363636364</v>
      </c>
      <c r="Y14" s="53">
        <f t="shared" si="17"/>
        <v>23563.636363636364</v>
      </c>
      <c r="Z14" s="53">
        <f t="shared" si="17"/>
        <v>40998.78787878788</v>
      </c>
      <c r="AA14" s="53">
        <f t="shared" si="17"/>
        <v>40998.78787878788</v>
      </c>
      <c r="AB14" s="53">
        <f t="shared" si="17"/>
        <v>40998.78787878788</v>
      </c>
      <c r="AC14" s="53">
        <f t="shared" si="17"/>
        <v>40998.78787878788</v>
      </c>
      <c r="AD14" s="53">
        <f t="shared" si="17"/>
        <v>40998.78787878788</v>
      </c>
      <c r="AE14" s="53">
        <f t="shared" si="17"/>
        <v>40998.78787878788</v>
      </c>
      <c r="AF14" s="53">
        <f t="shared" si="17"/>
        <v>40998.78787878788</v>
      </c>
      <c r="AG14" s="53">
        <f t="shared" si="17"/>
        <v>40998.78787878788</v>
      </c>
      <c r="AH14" s="53">
        <f t="shared" si="17"/>
        <v>40998.78787878788</v>
      </c>
      <c r="AI14" s="53">
        <f t="shared" si="17"/>
        <v>40998.78787878788</v>
      </c>
      <c r="AJ14" s="53">
        <f t="shared" si="17"/>
        <v>40998.78787878788</v>
      </c>
      <c r="AK14" s="53">
        <f t="shared" si="17"/>
        <v>40998.78787878788</v>
      </c>
      <c r="AL14" s="53">
        <f t="shared" si="17"/>
        <v>68130.909090909088</v>
      </c>
      <c r="AM14" s="53">
        <f t="shared" si="17"/>
        <v>68130.909090909088</v>
      </c>
      <c r="AN14" s="53">
        <f t="shared" si="17"/>
        <v>68130.909090909088</v>
      </c>
      <c r="AO14" s="53">
        <f t="shared" si="17"/>
        <v>68130.909090909088</v>
      </c>
      <c r="AP14" s="53">
        <f t="shared" si="17"/>
        <v>68130.909090909088</v>
      </c>
      <c r="AQ14" s="53">
        <f t="shared" si="17"/>
        <v>68130.909090909088</v>
      </c>
      <c r="AR14" s="53">
        <f t="shared" si="17"/>
        <v>68130.909090909088</v>
      </c>
      <c r="AS14" s="53">
        <f t="shared" si="17"/>
        <v>68130.909090909088</v>
      </c>
      <c r="AT14" s="53">
        <f t="shared" si="17"/>
        <v>68130.909090909088</v>
      </c>
      <c r="AU14" s="53">
        <f t="shared" si="17"/>
        <v>68130.909090909088</v>
      </c>
      <c r="AV14" s="53">
        <f t="shared" si="17"/>
        <v>68130.909090909088</v>
      </c>
      <c r="AW14" s="53">
        <f t="shared" si="17"/>
        <v>68130.909090909088</v>
      </c>
      <c r="AX14" s="53">
        <f t="shared" si="17"/>
        <v>105927.27272727272</v>
      </c>
      <c r="AY14" s="53">
        <f t="shared" si="17"/>
        <v>105927.27272727272</v>
      </c>
      <c r="AZ14" s="53">
        <f t="shared" si="17"/>
        <v>105927.27272727272</v>
      </c>
      <c r="BA14" s="53">
        <f t="shared" si="17"/>
        <v>105927.27272727272</v>
      </c>
      <c r="BB14" s="53">
        <f t="shared" si="17"/>
        <v>105927.27272727272</v>
      </c>
      <c r="BC14" s="53">
        <f t="shared" si="17"/>
        <v>105927.27272727272</v>
      </c>
      <c r="BD14" s="53">
        <f t="shared" si="17"/>
        <v>105927.27272727272</v>
      </c>
      <c r="BE14" s="53">
        <f t="shared" si="17"/>
        <v>105927.27272727272</v>
      </c>
      <c r="BF14" s="53">
        <f t="shared" si="17"/>
        <v>105927.27272727272</v>
      </c>
      <c r="BG14" s="53">
        <f t="shared" si="17"/>
        <v>105927.27272727272</v>
      </c>
      <c r="BH14" s="53">
        <f t="shared" si="17"/>
        <v>105927.27272727272</v>
      </c>
      <c r="BI14" s="53">
        <f t="shared" si="17"/>
        <v>105927.27272727272</v>
      </c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</row>
    <row r="15" spans="1:130" ht="15.75" thickBot="1"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</row>
    <row r="16" spans="1:130" ht="16.5" thickTop="1">
      <c r="A16" s="69" t="s">
        <v>165</v>
      </c>
      <c r="B16" s="70">
        <v>1</v>
      </c>
      <c r="C16" s="71">
        <v>2</v>
      </c>
      <c r="D16" s="70">
        <v>3</v>
      </c>
      <c r="E16" s="70">
        <v>4</v>
      </c>
      <c r="F16" s="71">
        <v>5</v>
      </c>
      <c r="G16" s="70">
        <v>6</v>
      </c>
      <c r="H16" s="70">
        <v>7</v>
      </c>
      <c r="I16" s="71">
        <v>8</v>
      </c>
      <c r="J16" s="70">
        <v>9</v>
      </c>
      <c r="K16" s="70">
        <v>10</v>
      </c>
      <c r="L16" s="71">
        <v>11</v>
      </c>
      <c r="M16" s="70">
        <v>12</v>
      </c>
      <c r="N16" s="70">
        <v>13</v>
      </c>
      <c r="O16" s="71">
        <v>14</v>
      </c>
      <c r="P16" s="70">
        <v>15</v>
      </c>
      <c r="Q16" s="70">
        <v>16</v>
      </c>
      <c r="R16" s="71">
        <v>17</v>
      </c>
      <c r="S16" s="70">
        <v>18</v>
      </c>
      <c r="T16" s="70">
        <v>19</v>
      </c>
      <c r="U16" s="71">
        <v>20</v>
      </c>
      <c r="V16" s="70">
        <v>21</v>
      </c>
      <c r="W16" s="70">
        <v>22</v>
      </c>
      <c r="X16" s="71">
        <v>23</v>
      </c>
      <c r="Y16" s="70">
        <v>24</v>
      </c>
      <c r="Z16" s="70">
        <v>25</v>
      </c>
      <c r="AA16" s="71">
        <v>26</v>
      </c>
      <c r="AB16" s="70">
        <v>27</v>
      </c>
      <c r="AC16" s="70">
        <v>28</v>
      </c>
      <c r="AD16" s="71">
        <v>29</v>
      </c>
      <c r="AE16" s="70">
        <v>30</v>
      </c>
      <c r="AF16" s="70">
        <v>31</v>
      </c>
      <c r="AG16" s="71">
        <v>32</v>
      </c>
      <c r="AH16" s="70">
        <v>33</v>
      </c>
      <c r="AI16" s="70">
        <v>34</v>
      </c>
      <c r="AJ16" s="71">
        <v>35</v>
      </c>
      <c r="AK16" s="70">
        <v>36</v>
      </c>
      <c r="AL16" s="70">
        <v>37</v>
      </c>
      <c r="AM16" s="71">
        <v>38</v>
      </c>
      <c r="AN16" s="70">
        <v>39</v>
      </c>
      <c r="AO16" s="70">
        <v>40</v>
      </c>
      <c r="AP16" s="71">
        <v>41</v>
      </c>
      <c r="AQ16" s="70">
        <v>42</v>
      </c>
      <c r="AR16" s="70">
        <v>43</v>
      </c>
      <c r="AS16" s="71">
        <v>44</v>
      </c>
      <c r="AT16" s="70">
        <v>45</v>
      </c>
      <c r="AU16" s="70">
        <v>46</v>
      </c>
      <c r="AV16" s="71">
        <v>47</v>
      </c>
      <c r="AW16" s="70">
        <v>48</v>
      </c>
      <c r="AX16" s="70">
        <v>49</v>
      </c>
      <c r="AY16" s="71">
        <v>50</v>
      </c>
      <c r="AZ16" s="70">
        <v>51</v>
      </c>
      <c r="BA16" s="70">
        <v>52</v>
      </c>
      <c r="BB16" s="71">
        <v>53</v>
      </c>
      <c r="BC16" s="70">
        <v>54</v>
      </c>
      <c r="BD16" s="70">
        <v>55</v>
      </c>
      <c r="BE16" s="71">
        <v>56</v>
      </c>
      <c r="BF16" s="70">
        <v>57</v>
      </c>
      <c r="BG16" s="70">
        <v>58</v>
      </c>
      <c r="BH16" s="71">
        <v>59</v>
      </c>
      <c r="BI16" s="108">
        <v>60</v>
      </c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</row>
    <row r="17" spans="1:130" s="45" customFormat="1">
      <c r="A17" s="72" t="s">
        <v>159</v>
      </c>
      <c r="B17" s="52">
        <f>Premissas!B65</f>
        <v>2200.0000000000005</v>
      </c>
      <c r="C17" s="52">
        <f>B17</f>
        <v>2200.0000000000005</v>
      </c>
      <c r="D17" s="52">
        <f t="shared" ref="D17:M17" si="18">C17</f>
        <v>2200.0000000000005</v>
      </c>
      <c r="E17" s="52">
        <f t="shared" si="18"/>
        <v>2200.0000000000005</v>
      </c>
      <c r="F17" s="52">
        <f t="shared" si="18"/>
        <v>2200.0000000000005</v>
      </c>
      <c r="G17" s="52">
        <f t="shared" si="18"/>
        <v>2200.0000000000005</v>
      </c>
      <c r="H17" s="52">
        <f t="shared" si="18"/>
        <v>2200.0000000000005</v>
      </c>
      <c r="I17" s="52">
        <f t="shared" si="18"/>
        <v>2200.0000000000005</v>
      </c>
      <c r="J17" s="52">
        <f t="shared" si="18"/>
        <v>2200.0000000000005</v>
      </c>
      <c r="K17" s="52">
        <f t="shared" si="18"/>
        <v>2200.0000000000005</v>
      </c>
      <c r="L17" s="52">
        <f t="shared" si="18"/>
        <v>2200.0000000000005</v>
      </c>
      <c r="M17" s="52">
        <f t="shared" si="18"/>
        <v>2200.0000000000005</v>
      </c>
      <c r="N17" s="52">
        <f>Premissas!C65</f>
        <v>4400.0000000000009</v>
      </c>
      <c r="O17" s="52">
        <f>N17</f>
        <v>4400.0000000000009</v>
      </c>
      <c r="P17" s="52">
        <f t="shared" ref="P17:Y17" si="19">O17</f>
        <v>4400.0000000000009</v>
      </c>
      <c r="Q17" s="52">
        <f t="shared" si="19"/>
        <v>4400.0000000000009</v>
      </c>
      <c r="R17" s="52">
        <f t="shared" si="19"/>
        <v>4400.0000000000009</v>
      </c>
      <c r="S17" s="52">
        <f t="shared" si="19"/>
        <v>4400.0000000000009</v>
      </c>
      <c r="T17" s="52">
        <f t="shared" si="19"/>
        <v>4400.0000000000009</v>
      </c>
      <c r="U17" s="52">
        <f t="shared" si="19"/>
        <v>4400.0000000000009</v>
      </c>
      <c r="V17" s="52">
        <f t="shared" si="19"/>
        <v>4400.0000000000009</v>
      </c>
      <c r="W17" s="52">
        <f t="shared" si="19"/>
        <v>4400.0000000000009</v>
      </c>
      <c r="X17" s="52">
        <f t="shared" si="19"/>
        <v>4400.0000000000009</v>
      </c>
      <c r="Y17" s="52">
        <f t="shared" si="19"/>
        <v>4400.0000000000009</v>
      </c>
      <c r="Z17" s="52">
        <f>Premissas!D65</f>
        <v>6270</v>
      </c>
      <c r="AA17" s="52">
        <f>Z17</f>
        <v>6270</v>
      </c>
      <c r="AB17" s="52">
        <f t="shared" ref="AB17:AK17" si="20">AA17</f>
        <v>6270</v>
      </c>
      <c r="AC17" s="52">
        <f t="shared" si="20"/>
        <v>6270</v>
      </c>
      <c r="AD17" s="52">
        <f t="shared" si="20"/>
        <v>6270</v>
      </c>
      <c r="AE17" s="52">
        <f t="shared" si="20"/>
        <v>6270</v>
      </c>
      <c r="AF17" s="52">
        <f t="shared" si="20"/>
        <v>6270</v>
      </c>
      <c r="AG17" s="52">
        <f t="shared" si="20"/>
        <v>6270</v>
      </c>
      <c r="AH17" s="52">
        <f t="shared" si="20"/>
        <v>6270</v>
      </c>
      <c r="AI17" s="52">
        <f t="shared" si="20"/>
        <v>6270</v>
      </c>
      <c r="AJ17" s="52">
        <f t="shared" si="20"/>
        <v>6270</v>
      </c>
      <c r="AK17" s="52">
        <f t="shared" si="20"/>
        <v>6270</v>
      </c>
      <c r="AL17" s="52">
        <f>Premissas!E65</f>
        <v>8046.5</v>
      </c>
      <c r="AM17" s="52">
        <f>AL17</f>
        <v>8046.5</v>
      </c>
      <c r="AN17" s="52">
        <f t="shared" ref="AN17:AW17" si="21">AM17</f>
        <v>8046.5</v>
      </c>
      <c r="AO17" s="52">
        <f t="shared" si="21"/>
        <v>8046.5</v>
      </c>
      <c r="AP17" s="52">
        <f t="shared" si="21"/>
        <v>8046.5</v>
      </c>
      <c r="AQ17" s="52">
        <f t="shared" si="21"/>
        <v>8046.5</v>
      </c>
      <c r="AR17" s="52">
        <f t="shared" si="21"/>
        <v>8046.5</v>
      </c>
      <c r="AS17" s="52">
        <f t="shared" si="21"/>
        <v>8046.5</v>
      </c>
      <c r="AT17" s="52">
        <f t="shared" si="21"/>
        <v>8046.5</v>
      </c>
      <c r="AU17" s="52">
        <f t="shared" si="21"/>
        <v>8046.5</v>
      </c>
      <c r="AV17" s="52">
        <f t="shared" si="21"/>
        <v>8046.5</v>
      </c>
      <c r="AW17" s="52">
        <f t="shared" si="21"/>
        <v>8046.5</v>
      </c>
      <c r="AX17" s="52">
        <f>Premissas!F65</f>
        <v>9734.1749999999993</v>
      </c>
      <c r="AY17" s="52">
        <f>AX17</f>
        <v>9734.1749999999993</v>
      </c>
      <c r="AZ17" s="52">
        <f t="shared" ref="AZ17:BI17" si="22">AY17</f>
        <v>9734.1749999999993</v>
      </c>
      <c r="BA17" s="52">
        <f t="shared" si="22"/>
        <v>9734.1749999999993</v>
      </c>
      <c r="BB17" s="52">
        <f t="shared" si="22"/>
        <v>9734.1749999999993</v>
      </c>
      <c r="BC17" s="52">
        <f t="shared" si="22"/>
        <v>9734.1749999999993</v>
      </c>
      <c r="BD17" s="52">
        <f t="shared" si="22"/>
        <v>9734.1749999999993</v>
      </c>
      <c r="BE17" s="52">
        <f t="shared" si="22"/>
        <v>9734.1749999999993</v>
      </c>
      <c r="BF17" s="52">
        <f t="shared" si="22"/>
        <v>9734.1749999999993</v>
      </c>
      <c r="BG17" s="52">
        <f t="shared" si="22"/>
        <v>9734.1749999999993</v>
      </c>
      <c r="BH17" s="52">
        <f t="shared" si="22"/>
        <v>9734.1749999999993</v>
      </c>
      <c r="BI17" s="73">
        <f t="shared" si="22"/>
        <v>9734.1749999999993</v>
      </c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109"/>
    </row>
    <row r="18" spans="1:130">
      <c r="A18" s="51" t="s">
        <v>25</v>
      </c>
      <c r="B18" s="53">
        <f>B17</f>
        <v>2200.0000000000005</v>
      </c>
      <c r="C18" s="53">
        <f t="shared" ref="C18:BI18" si="23">C17</f>
        <v>2200.0000000000005</v>
      </c>
      <c r="D18" s="53">
        <f t="shared" si="23"/>
        <v>2200.0000000000005</v>
      </c>
      <c r="E18" s="53">
        <f t="shared" si="23"/>
        <v>2200.0000000000005</v>
      </c>
      <c r="F18" s="53">
        <f t="shared" si="23"/>
        <v>2200.0000000000005</v>
      </c>
      <c r="G18" s="53">
        <f t="shared" si="23"/>
        <v>2200.0000000000005</v>
      </c>
      <c r="H18" s="53">
        <f t="shared" si="23"/>
        <v>2200.0000000000005</v>
      </c>
      <c r="I18" s="53">
        <f t="shared" si="23"/>
        <v>2200.0000000000005</v>
      </c>
      <c r="J18" s="53">
        <f t="shared" si="23"/>
        <v>2200.0000000000005</v>
      </c>
      <c r="K18" s="53">
        <f t="shared" si="23"/>
        <v>2200.0000000000005</v>
      </c>
      <c r="L18" s="53">
        <f t="shared" si="23"/>
        <v>2200.0000000000005</v>
      </c>
      <c r="M18" s="53">
        <f t="shared" si="23"/>
        <v>2200.0000000000005</v>
      </c>
      <c r="N18" s="53">
        <f t="shared" si="23"/>
        <v>4400.0000000000009</v>
      </c>
      <c r="O18" s="53">
        <f t="shared" si="23"/>
        <v>4400.0000000000009</v>
      </c>
      <c r="P18" s="53">
        <f t="shared" si="23"/>
        <v>4400.0000000000009</v>
      </c>
      <c r="Q18" s="53">
        <f t="shared" si="23"/>
        <v>4400.0000000000009</v>
      </c>
      <c r="R18" s="53">
        <f t="shared" si="23"/>
        <v>4400.0000000000009</v>
      </c>
      <c r="S18" s="53">
        <f t="shared" si="23"/>
        <v>4400.0000000000009</v>
      </c>
      <c r="T18" s="53">
        <f t="shared" si="23"/>
        <v>4400.0000000000009</v>
      </c>
      <c r="U18" s="53">
        <f t="shared" si="23"/>
        <v>4400.0000000000009</v>
      </c>
      <c r="V18" s="53">
        <f t="shared" si="23"/>
        <v>4400.0000000000009</v>
      </c>
      <c r="W18" s="53">
        <f t="shared" si="23"/>
        <v>4400.0000000000009</v>
      </c>
      <c r="X18" s="53">
        <f t="shared" si="23"/>
        <v>4400.0000000000009</v>
      </c>
      <c r="Y18" s="53">
        <f t="shared" si="23"/>
        <v>4400.0000000000009</v>
      </c>
      <c r="Z18" s="53">
        <f t="shared" si="23"/>
        <v>6270</v>
      </c>
      <c r="AA18" s="53">
        <f t="shared" si="23"/>
        <v>6270</v>
      </c>
      <c r="AB18" s="53">
        <f t="shared" si="23"/>
        <v>6270</v>
      </c>
      <c r="AC18" s="53">
        <f t="shared" si="23"/>
        <v>6270</v>
      </c>
      <c r="AD18" s="53">
        <f t="shared" si="23"/>
        <v>6270</v>
      </c>
      <c r="AE18" s="53">
        <f t="shared" si="23"/>
        <v>6270</v>
      </c>
      <c r="AF18" s="53">
        <f t="shared" si="23"/>
        <v>6270</v>
      </c>
      <c r="AG18" s="53">
        <f t="shared" si="23"/>
        <v>6270</v>
      </c>
      <c r="AH18" s="53">
        <f t="shared" si="23"/>
        <v>6270</v>
      </c>
      <c r="AI18" s="53">
        <f t="shared" si="23"/>
        <v>6270</v>
      </c>
      <c r="AJ18" s="53">
        <f t="shared" si="23"/>
        <v>6270</v>
      </c>
      <c r="AK18" s="53">
        <f t="shared" si="23"/>
        <v>6270</v>
      </c>
      <c r="AL18" s="53">
        <f t="shared" si="23"/>
        <v>8046.5</v>
      </c>
      <c r="AM18" s="53">
        <f t="shared" si="23"/>
        <v>8046.5</v>
      </c>
      <c r="AN18" s="53">
        <f t="shared" si="23"/>
        <v>8046.5</v>
      </c>
      <c r="AO18" s="53">
        <f t="shared" si="23"/>
        <v>8046.5</v>
      </c>
      <c r="AP18" s="53">
        <f t="shared" si="23"/>
        <v>8046.5</v>
      </c>
      <c r="AQ18" s="53">
        <f t="shared" si="23"/>
        <v>8046.5</v>
      </c>
      <c r="AR18" s="53">
        <f t="shared" si="23"/>
        <v>8046.5</v>
      </c>
      <c r="AS18" s="53">
        <f t="shared" si="23"/>
        <v>8046.5</v>
      </c>
      <c r="AT18" s="53">
        <f t="shared" si="23"/>
        <v>8046.5</v>
      </c>
      <c r="AU18" s="53">
        <f t="shared" si="23"/>
        <v>8046.5</v>
      </c>
      <c r="AV18" s="53">
        <f t="shared" si="23"/>
        <v>8046.5</v>
      </c>
      <c r="AW18" s="53">
        <f t="shared" si="23"/>
        <v>8046.5</v>
      </c>
      <c r="AX18" s="53">
        <f t="shared" si="23"/>
        <v>9734.1749999999993</v>
      </c>
      <c r="AY18" s="53">
        <f t="shared" si="23"/>
        <v>9734.1749999999993</v>
      </c>
      <c r="AZ18" s="53">
        <f t="shared" si="23"/>
        <v>9734.1749999999993</v>
      </c>
      <c r="BA18" s="53">
        <f t="shared" si="23"/>
        <v>9734.1749999999993</v>
      </c>
      <c r="BB18" s="53">
        <f t="shared" si="23"/>
        <v>9734.1749999999993</v>
      </c>
      <c r="BC18" s="53">
        <f t="shared" si="23"/>
        <v>9734.1749999999993</v>
      </c>
      <c r="BD18" s="53">
        <f t="shared" si="23"/>
        <v>9734.1749999999993</v>
      </c>
      <c r="BE18" s="53">
        <f t="shared" si="23"/>
        <v>9734.1749999999993</v>
      </c>
      <c r="BF18" s="53">
        <f t="shared" si="23"/>
        <v>9734.1749999999993</v>
      </c>
      <c r="BG18" s="53">
        <f t="shared" si="23"/>
        <v>9734.1749999999993</v>
      </c>
      <c r="BH18" s="53">
        <f t="shared" si="23"/>
        <v>9734.1749999999993</v>
      </c>
      <c r="BI18" s="53">
        <f t="shared" si="23"/>
        <v>9734.1749999999993</v>
      </c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</row>
    <row r="19" spans="1:130" s="58" customFormat="1" ht="15.75" thickBot="1">
      <c r="A19" s="102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</row>
    <row r="20" spans="1:130" ht="16.5" thickTop="1">
      <c r="A20" s="69" t="s">
        <v>158</v>
      </c>
      <c r="B20" s="70">
        <v>1</v>
      </c>
      <c r="C20" s="71">
        <v>2</v>
      </c>
      <c r="D20" s="70">
        <v>3</v>
      </c>
      <c r="E20" s="70">
        <v>4</v>
      </c>
      <c r="F20" s="71">
        <v>5</v>
      </c>
      <c r="G20" s="70">
        <v>6</v>
      </c>
      <c r="H20" s="70">
        <v>7</v>
      </c>
      <c r="I20" s="71">
        <v>8</v>
      </c>
      <c r="J20" s="70">
        <v>9</v>
      </c>
      <c r="K20" s="70">
        <v>10</v>
      </c>
      <c r="L20" s="71">
        <v>11</v>
      </c>
      <c r="M20" s="70">
        <v>12</v>
      </c>
      <c r="N20" s="70">
        <v>13</v>
      </c>
      <c r="O20" s="71">
        <v>14</v>
      </c>
      <c r="P20" s="70">
        <v>15</v>
      </c>
      <c r="Q20" s="70">
        <v>16</v>
      </c>
      <c r="R20" s="71">
        <v>17</v>
      </c>
      <c r="S20" s="70">
        <v>18</v>
      </c>
      <c r="T20" s="70">
        <v>19</v>
      </c>
      <c r="U20" s="71">
        <v>20</v>
      </c>
      <c r="V20" s="70">
        <v>21</v>
      </c>
      <c r="W20" s="70">
        <v>22</v>
      </c>
      <c r="X20" s="71">
        <v>23</v>
      </c>
      <c r="Y20" s="70">
        <v>24</v>
      </c>
      <c r="Z20" s="70">
        <v>25</v>
      </c>
      <c r="AA20" s="71">
        <v>26</v>
      </c>
      <c r="AB20" s="70">
        <v>27</v>
      </c>
      <c r="AC20" s="70">
        <v>28</v>
      </c>
      <c r="AD20" s="71">
        <v>29</v>
      </c>
      <c r="AE20" s="70">
        <v>30</v>
      </c>
      <c r="AF20" s="70">
        <v>31</v>
      </c>
      <c r="AG20" s="71">
        <v>32</v>
      </c>
      <c r="AH20" s="70">
        <v>33</v>
      </c>
      <c r="AI20" s="70">
        <v>34</v>
      </c>
      <c r="AJ20" s="71">
        <v>35</v>
      </c>
      <c r="AK20" s="70">
        <v>36</v>
      </c>
      <c r="AL20" s="70">
        <v>37</v>
      </c>
      <c r="AM20" s="71">
        <v>38</v>
      </c>
      <c r="AN20" s="70">
        <v>39</v>
      </c>
      <c r="AO20" s="70">
        <v>40</v>
      </c>
      <c r="AP20" s="71">
        <v>41</v>
      </c>
      <c r="AQ20" s="70">
        <v>42</v>
      </c>
      <c r="AR20" s="70">
        <v>43</v>
      </c>
      <c r="AS20" s="71">
        <v>44</v>
      </c>
      <c r="AT20" s="70">
        <v>45</v>
      </c>
      <c r="AU20" s="70">
        <v>46</v>
      </c>
      <c r="AV20" s="71">
        <v>47</v>
      </c>
      <c r="AW20" s="70">
        <v>48</v>
      </c>
      <c r="AX20" s="70">
        <v>49</v>
      </c>
      <c r="AY20" s="71">
        <v>50</v>
      </c>
      <c r="AZ20" s="70">
        <v>51</v>
      </c>
      <c r="BA20" s="70">
        <v>52</v>
      </c>
      <c r="BB20" s="71">
        <v>53</v>
      </c>
      <c r="BC20" s="70">
        <v>54</v>
      </c>
      <c r="BD20" s="70">
        <v>55</v>
      </c>
      <c r="BE20" s="71">
        <v>56</v>
      </c>
      <c r="BF20" s="70">
        <v>57</v>
      </c>
      <c r="BG20" s="70">
        <v>58</v>
      </c>
      <c r="BH20" s="71">
        <v>59</v>
      </c>
      <c r="BI20" s="108">
        <v>60</v>
      </c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</row>
    <row r="21" spans="1:130" s="45" customFormat="1">
      <c r="A21" s="72" t="s">
        <v>163</v>
      </c>
      <c r="B21" s="52">
        <v>0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f>Premissas!C30</f>
        <v>2200</v>
      </c>
      <c r="O21" s="52">
        <f>N21</f>
        <v>2200</v>
      </c>
      <c r="P21" s="52">
        <f t="shared" ref="P21:Y21" si="24">O21</f>
        <v>2200</v>
      </c>
      <c r="Q21" s="52">
        <f t="shared" si="24"/>
        <v>2200</v>
      </c>
      <c r="R21" s="52">
        <f t="shared" si="24"/>
        <v>2200</v>
      </c>
      <c r="S21" s="52">
        <f t="shared" si="24"/>
        <v>2200</v>
      </c>
      <c r="T21" s="52">
        <f t="shared" si="24"/>
        <v>2200</v>
      </c>
      <c r="U21" s="52">
        <f t="shared" si="24"/>
        <v>2200</v>
      </c>
      <c r="V21" s="52">
        <f t="shared" si="24"/>
        <v>2200</v>
      </c>
      <c r="W21" s="52">
        <f t="shared" si="24"/>
        <v>2200</v>
      </c>
      <c r="X21" s="52">
        <f t="shared" si="24"/>
        <v>2200</v>
      </c>
      <c r="Y21" s="52">
        <f t="shared" si="24"/>
        <v>2200</v>
      </c>
      <c r="Z21" s="52">
        <f>Premissas!D30</f>
        <v>3135</v>
      </c>
      <c r="AA21" s="52">
        <f>Z21</f>
        <v>3135</v>
      </c>
      <c r="AB21" s="52">
        <f t="shared" ref="AB21:AK21" si="25">AA21</f>
        <v>3135</v>
      </c>
      <c r="AC21" s="52">
        <f t="shared" si="25"/>
        <v>3135</v>
      </c>
      <c r="AD21" s="52">
        <f t="shared" si="25"/>
        <v>3135</v>
      </c>
      <c r="AE21" s="52">
        <f t="shared" si="25"/>
        <v>3135</v>
      </c>
      <c r="AF21" s="52">
        <f t="shared" si="25"/>
        <v>3135</v>
      </c>
      <c r="AG21" s="52">
        <f t="shared" si="25"/>
        <v>3135</v>
      </c>
      <c r="AH21" s="52">
        <f t="shared" si="25"/>
        <v>3135</v>
      </c>
      <c r="AI21" s="52">
        <f t="shared" si="25"/>
        <v>3135</v>
      </c>
      <c r="AJ21" s="52">
        <f t="shared" si="25"/>
        <v>3135</v>
      </c>
      <c r="AK21" s="52">
        <f t="shared" si="25"/>
        <v>3135</v>
      </c>
      <c r="AL21" s="52">
        <f>Premissas!E30</f>
        <v>4023.25</v>
      </c>
      <c r="AM21" s="52">
        <f>AL21</f>
        <v>4023.25</v>
      </c>
      <c r="AN21" s="52">
        <f t="shared" ref="AN21:AW21" si="26">AM21</f>
        <v>4023.25</v>
      </c>
      <c r="AO21" s="52">
        <f t="shared" si="26"/>
        <v>4023.25</v>
      </c>
      <c r="AP21" s="52">
        <f t="shared" si="26"/>
        <v>4023.25</v>
      </c>
      <c r="AQ21" s="52">
        <f t="shared" si="26"/>
        <v>4023.25</v>
      </c>
      <c r="AR21" s="52">
        <f t="shared" si="26"/>
        <v>4023.25</v>
      </c>
      <c r="AS21" s="52">
        <f t="shared" si="26"/>
        <v>4023.25</v>
      </c>
      <c r="AT21" s="52">
        <f t="shared" si="26"/>
        <v>4023.25</v>
      </c>
      <c r="AU21" s="52">
        <f t="shared" si="26"/>
        <v>4023.25</v>
      </c>
      <c r="AV21" s="52">
        <f t="shared" si="26"/>
        <v>4023.25</v>
      </c>
      <c r="AW21" s="52">
        <f t="shared" si="26"/>
        <v>4023.25</v>
      </c>
      <c r="AX21" s="52">
        <f>Premissas!F30</f>
        <v>4867.0874999999987</v>
      </c>
      <c r="AY21" s="52">
        <f>AX21</f>
        <v>4867.0874999999987</v>
      </c>
      <c r="AZ21" s="52">
        <f t="shared" ref="AZ21:BI21" si="27">AY21</f>
        <v>4867.0874999999987</v>
      </c>
      <c r="BA21" s="52">
        <f t="shared" si="27"/>
        <v>4867.0874999999987</v>
      </c>
      <c r="BB21" s="52">
        <f t="shared" si="27"/>
        <v>4867.0874999999987</v>
      </c>
      <c r="BC21" s="52">
        <f t="shared" si="27"/>
        <v>4867.0874999999987</v>
      </c>
      <c r="BD21" s="52">
        <f t="shared" si="27"/>
        <v>4867.0874999999987</v>
      </c>
      <c r="BE21" s="52">
        <f t="shared" si="27"/>
        <v>4867.0874999999987</v>
      </c>
      <c r="BF21" s="52">
        <f t="shared" si="27"/>
        <v>4867.0874999999987</v>
      </c>
      <c r="BG21" s="52">
        <f t="shared" si="27"/>
        <v>4867.0874999999987</v>
      </c>
      <c r="BH21" s="52">
        <f t="shared" si="27"/>
        <v>4867.0874999999987</v>
      </c>
      <c r="BI21" s="73">
        <f t="shared" si="27"/>
        <v>4867.0874999999987</v>
      </c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109"/>
    </row>
    <row r="22" spans="1:130">
      <c r="A22" s="51" t="s">
        <v>25</v>
      </c>
      <c r="B22" s="53">
        <f>B21</f>
        <v>0</v>
      </c>
      <c r="C22" s="53">
        <f t="shared" ref="C22:BI22" si="28">C21</f>
        <v>0</v>
      </c>
      <c r="D22" s="53">
        <f t="shared" si="28"/>
        <v>0</v>
      </c>
      <c r="E22" s="53">
        <f t="shared" si="28"/>
        <v>0</v>
      </c>
      <c r="F22" s="53">
        <f t="shared" si="28"/>
        <v>0</v>
      </c>
      <c r="G22" s="53">
        <f t="shared" si="28"/>
        <v>0</v>
      </c>
      <c r="H22" s="53">
        <f t="shared" si="28"/>
        <v>0</v>
      </c>
      <c r="I22" s="53">
        <f t="shared" si="28"/>
        <v>0</v>
      </c>
      <c r="J22" s="53">
        <f t="shared" si="28"/>
        <v>0</v>
      </c>
      <c r="K22" s="53">
        <f t="shared" si="28"/>
        <v>0</v>
      </c>
      <c r="L22" s="53">
        <f t="shared" si="28"/>
        <v>0</v>
      </c>
      <c r="M22" s="53">
        <f t="shared" si="28"/>
        <v>0</v>
      </c>
      <c r="N22" s="53">
        <f t="shared" si="28"/>
        <v>2200</v>
      </c>
      <c r="O22" s="53">
        <f t="shared" si="28"/>
        <v>2200</v>
      </c>
      <c r="P22" s="53">
        <f t="shared" si="28"/>
        <v>2200</v>
      </c>
      <c r="Q22" s="53">
        <f t="shared" si="28"/>
        <v>2200</v>
      </c>
      <c r="R22" s="53">
        <f t="shared" si="28"/>
        <v>2200</v>
      </c>
      <c r="S22" s="53">
        <f t="shared" si="28"/>
        <v>2200</v>
      </c>
      <c r="T22" s="53">
        <f t="shared" si="28"/>
        <v>2200</v>
      </c>
      <c r="U22" s="53">
        <f t="shared" si="28"/>
        <v>2200</v>
      </c>
      <c r="V22" s="53">
        <f t="shared" si="28"/>
        <v>2200</v>
      </c>
      <c r="W22" s="53">
        <f t="shared" si="28"/>
        <v>2200</v>
      </c>
      <c r="X22" s="53">
        <f t="shared" si="28"/>
        <v>2200</v>
      </c>
      <c r="Y22" s="53">
        <f t="shared" si="28"/>
        <v>2200</v>
      </c>
      <c r="Z22" s="53">
        <f t="shared" si="28"/>
        <v>3135</v>
      </c>
      <c r="AA22" s="53">
        <f t="shared" si="28"/>
        <v>3135</v>
      </c>
      <c r="AB22" s="53">
        <f t="shared" si="28"/>
        <v>3135</v>
      </c>
      <c r="AC22" s="53">
        <f t="shared" si="28"/>
        <v>3135</v>
      </c>
      <c r="AD22" s="53">
        <f t="shared" si="28"/>
        <v>3135</v>
      </c>
      <c r="AE22" s="53">
        <f t="shared" si="28"/>
        <v>3135</v>
      </c>
      <c r="AF22" s="53">
        <f t="shared" si="28"/>
        <v>3135</v>
      </c>
      <c r="AG22" s="53">
        <f t="shared" si="28"/>
        <v>3135</v>
      </c>
      <c r="AH22" s="53">
        <f t="shared" si="28"/>
        <v>3135</v>
      </c>
      <c r="AI22" s="53">
        <f t="shared" si="28"/>
        <v>3135</v>
      </c>
      <c r="AJ22" s="53">
        <f t="shared" si="28"/>
        <v>3135</v>
      </c>
      <c r="AK22" s="53">
        <f t="shared" si="28"/>
        <v>3135</v>
      </c>
      <c r="AL22" s="53">
        <f t="shared" si="28"/>
        <v>4023.25</v>
      </c>
      <c r="AM22" s="53">
        <f t="shared" si="28"/>
        <v>4023.25</v>
      </c>
      <c r="AN22" s="53">
        <f t="shared" si="28"/>
        <v>4023.25</v>
      </c>
      <c r="AO22" s="53">
        <f t="shared" si="28"/>
        <v>4023.25</v>
      </c>
      <c r="AP22" s="53">
        <f t="shared" si="28"/>
        <v>4023.25</v>
      </c>
      <c r="AQ22" s="53">
        <f t="shared" si="28"/>
        <v>4023.25</v>
      </c>
      <c r="AR22" s="53">
        <f t="shared" si="28"/>
        <v>4023.25</v>
      </c>
      <c r="AS22" s="53">
        <f t="shared" si="28"/>
        <v>4023.25</v>
      </c>
      <c r="AT22" s="53">
        <f t="shared" si="28"/>
        <v>4023.25</v>
      </c>
      <c r="AU22" s="53">
        <f t="shared" si="28"/>
        <v>4023.25</v>
      </c>
      <c r="AV22" s="53">
        <f t="shared" si="28"/>
        <v>4023.25</v>
      </c>
      <c r="AW22" s="53">
        <f t="shared" si="28"/>
        <v>4023.25</v>
      </c>
      <c r="AX22" s="53">
        <f t="shared" si="28"/>
        <v>4867.0874999999987</v>
      </c>
      <c r="AY22" s="53">
        <f t="shared" si="28"/>
        <v>4867.0874999999987</v>
      </c>
      <c r="AZ22" s="53">
        <f t="shared" si="28"/>
        <v>4867.0874999999987</v>
      </c>
      <c r="BA22" s="53">
        <f t="shared" si="28"/>
        <v>4867.0874999999987</v>
      </c>
      <c r="BB22" s="53">
        <f t="shared" si="28"/>
        <v>4867.0874999999987</v>
      </c>
      <c r="BC22" s="53">
        <f t="shared" si="28"/>
        <v>4867.0874999999987</v>
      </c>
      <c r="BD22" s="53">
        <f t="shared" si="28"/>
        <v>4867.0874999999987</v>
      </c>
      <c r="BE22" s="53">
        <f t="shared" si="28"/>
        <v>4867.0874999999987</v>
      </c>
      <c r="BF22" s="53">
        <f t="shared" si="28"/>
        <v>4867.0874999999987</v>
      </c>
      <c r="BG22" s="53">
        <f t="shared" si="28"/>
        <v>4867.0874999999987</v>
      </c>
      <c r="BH22" s="53">
        <f t="shared" si="28"/>
        <v>4867.0874999999987</v>
      </c>
      <c r="BI22" s="53">
        <f t="shared" si="28"/>
        <v>4867.0874999999987</v>
      </c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</row>
    <row r="23" spans="1:130" s="58" customFormat="1" ht="15.75" thickBot="1">
      <c r="A23" s="102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</row>
    <row r="24" spans="1:130" ht="16.5" thickTop="1">
      <c r="A24" s="69" t="s">
        <v>152</v>
      </c>
      <c r="B24" s="70">
        <v>1</v>
      </c>
      <c r="C24" s="71">
        <v>2</v>
      </c>
      <c r="D24" s="70">
        <v>3</v>
      </c>
      <c r="E24" s="70">
        <v>4</v>
      </c>
      <c r="F24" s="71">
        <v>5</v>
      </c>
      <c r="G24" s="70">
        <v>6</v>
      </c>
      <c r="H24" s="70">
        <v>7</v>
      </c>
      <c r="I24" s="71">
        <v>8</v>
      </c>
      <c r="J24" s="70">
        <v>9</v>
      </c>
      <c r="K24" s="70">
        <v>10</v>
      </c>
      <c r="L24" s="71">
        <v>11</v>
      </c>
      <c r="M24" s="70">
        <v>12</v>
      </c>
      <c r="N24" s="70">
        <v>13</v>
      </c>
      <c r="O24" s="71">
        <v>14</v>
      </c>
      <c r="P24" s="70">
        <v>15</v>
      </c>
      <c r="Q24" s="70">
        <v>16</v>
      </c>
      <c r="R24" s="71">
        <v>17</v>
      </c>
      <c r="S24" s="70">
        <v>18</v>
      </c>
      <c r="T24" s="70">
        <v>19</v>
      </c>
      <c r="U24" s="71">
        <v>20</v>
      </c>
      <c r="V24" s="70">
        <v>21</v>
      </c>
      <c r="W24" s="70">
        <v>22</v>
      </c>
      <c r="X24" s="71">
        <v>23</v>
      </c>
      <c r="Y24" s="70">
        <v>24</v>
      </c>
      <c r="Z24" s="70">
        <v>25</v>
      </c>
      <c r="AA24" s="71">
        <v>26</v>
      </c>
      <c r="AB24" s="70">
        <v>27</v>
      </c>
      <c r="AC24" s="70">
        <v>28</v>
      </c>
      <c r="AD24" s="71">
        <v>29</v>
      </c>
      <c r="AE24" s="70">
        <v>30</v>
      </c>
      <c r="AF24" s="70">
        <v>31</v>
      </c>
      <c r="AG24" s="71">
        <v>32</v>
      </c>
      <c r="AH24" s="70">
        <v>33</v>
      </c>
      <c r="AI24" s="70">
        <v>34</v>
      </c>
      <c r="AJ24" s="71">
        <v>35</v>
      </c>
      <c r="AK24" s="70">
        <v>36</v>
      </c>
      <c r="AL24" s="70">
        <v>37</v>
      </c>
      <c r="AM24" s="71">
        <v>38</v>
      </c>
      <c r="AN24" s="70">
        <v>39</v>
      </c>
      <c r="AO24" s="70">
        <v>40</v>
      </c>
      <c r="AP24" s="71">
        <v>41</v>
      </c>
      <c r="AQ24" s="70">
        <v>42</v>
      </c>
      <c r="AR24" s="70">
        <v>43</v>
      </c>
      <c r="AS24" s="71">
        <v>44</v>
      </c>
      <c r="AT24" s="70">
        <v>45</v>
      </c>
      <c r="AU24" s="70">
        <v>46</v>
      </c>
      <c r="AV24" s="71">
        <v>47</v>
      </c>
      <c r="AW24" s="70">
        <v>48</v>
      </c>
      <c r="AX24" s="70">
        <v>49</v>
      </c>
      <c r="AY24" s="71">
        <v>50</v>
      </c>
      <c r="AZ24" s="70">
        <v>51</v>
      </c>
      <c r="BA24" s="70">
        <v>52</v>
      </c>
      <c r="BB24" s="71">
        <v>53</v>
      </c>
      <c r="BC24" s="70">
        <v>54</v>
      </c>
      <c r="BD24" s="70">
        <v>55</v>
      </c>
      <c r="BE24" s="71">
        <v>56</v>
      </c>
      <c r="BF24" s="70">
        <v>57</v>
      </c>
      <c r="BG24" s="70">
        <v>58</v>
      </c>
      <c r="BH24" s="71">
        <v>59</v>
      </c>
      <c r="BI24" s="108">
        <v>60</v>
      </c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</row>
    <row r="25" spans="1:130" s="45" customFormat="1">
      <c r="A25" s="72" t="s">
        <v>155</v>
      </c>
      <c r="B25" s="52">
        <f>assinatura*Premissas!B47</f>
        <v>5500</v>
      </c>
      <c r="C25" s="52">
        <f>B25*2</f>
        <v>11000</v>
      </c>
      <c r="D25" s="52">
        <f>B25*3</f>
        <v>16500</v>
      </c>
      <c r="E25" s="52">
        <f>B25*4</f>
        <v>22000</v>
      </c>
      <c r="F25" s="52">
        <f>B25*5</f>
        <v>27500</v>
      </c>
      <c r="G25" s="52">
        <f>B25*6</f>
        <v>33000</v>
      </c>
      <c r="H25" s="52">
        <f>B25*7</f>
        <v>38500</v>
      </c>
      <c r="I25" s="52">
        <f>B25*8</f>
        <v>44000</v>
      </c>
      <c r="J25" s="52">
        <f>B25*9</f>
        <v>49500</v>
      </c>
      <c r="K25" s="52">
        <f>B25*10</f>
        <v>55000</v>
      </c>
      <c r="L25" s="52">
        <f>B25*11</f>
        <v>60500</v>
      </c>
      <c r="M25" s="52">
        <f>B25*12</f>
        <v>66000</v>
      </c>
      <c r="N25" s="52">
        <f>B25*13</f>
        <v>71500</v>
      </c>
      <c r="O25" s="52">
        <f>B25*14</f>
        <v>77000</v>
      </c>
      <c r="P25" s="52">
        <f>B25*15</f>
        <v>82500</v>
      </c>
      <c r="Q25" s="52">
        <f>B25*16</f>
        <v>88000</v>
      </c>
      <c r="R25" s="52">
        <f>B25*17</f>
        <v>93500</v>
      </c>
      <c r="S25" s="52">
        <f>B25*18</f>
        <v>99000</v>
      </c>
      <c r="T25" s="52">
        <f>B25*19</f>
        <v>104500</v>
      </c>
      <c r="U25" s="52">
        <f>B25*20</f>
        <v>110000</v>
      </c>
      <c r="V25" s="52">
        <f>B25*21</f>
        <v>115500</v>
      </c>
      <c r="W25" s="52">
        <f>B25*22</f>
        <v>121000</v>
      </c>
      <c r="X25" s="52">
        <f>B25*23</f>
        <v>126500</v>
      </c>
      <c r="Y25" s="52">
        <f>B25*24</f>
        <v>132000</v>
      </c>
      <c r="Z25" s="52">
        <f>B25*25*0.95</f>
        <v>130625</v>
      </c>
      <c r="AA25" s="52">
        <f>B25*26*0.95</f>
        <v>135850</v>
      </c>
      <c r="AB25" s="52">
        <f>B25*27*0.95</f>
        <v>141075</v>
      </c>
      <c r="AC25" s="52">
        <f>B25*28*0.95</f>
        <v>146300</v>
      </c>
      <c r="AD25" s="52">
        <f>B25*29*0.95</f>
        <v>151525</v>
      </c>
      <c r="AE25" s="52">
        <f>B25*30*0.95</f>
        <v>156750</v>
      </c>
      <c r="AF25" s="52">
        <f>B25*31*0.95</f>
        <v>161975</v>
      </c>
      <c r="AG25" s="52">
        <f>B25*32*0.95</f>
        <v>167200</v>
      </c>
      <c r="AH25" s="52">
        <f>B25*33*0.95</f>
        <v>172425</v>
      </c>
      <c r="AI25" s="52">
        <f>B25*34*0.95</f>
        <v>177650</v>
      </c>
      <c r="AJ25" s="52">
        <f>B25*35*0.95</f>
        <v>182875</v>
      </c>
      <c r="AK25" s="52">
        <f>B25*36*0.95</f>
        <v>188100</v>
      </c>
      <c r="AL25" s="52">
        <f>B25*37*0.95</f>
        <v>193325</v>
      </c>
      <c r="AM25" s="52">
        <f>B25*38*0.95</f>
        <v>198550</v>
      </c>
      <c r="AN25" s="52">
        <f>B25*39*0.95</f>
        <v>203775</v>
      </c>
      <c r="AO25" s="52">
        <f>B25*40*0.95</f>
        <v>209000</v>
      </c>
      <c r="AP25" s="52">
        <f>B25*41*0.95</f>
        <v>214225</v>
      </c>
      <c r="AQ25" s="52">
        <f>B25*42*0.95</f>
        <v>219450</v>
      </c>
      <c r="AR25" s="52">
        <f>B25*43*0.95</f>
        <v>224675</v>
      </c>
      <c r="AS25" s="52">
        <f>B25*44*0.95</f>
        <v>229900</v>
      </c>
      <c r="AT25" s="52">
        <f>B25*45*0.95</f>
        <v>235125</v>
      </c>
      <c r="AU25" s="52">
        <f>B25*46*0.95</f>
        <v>240350</v>
      </c>
      <c r="AV25" s="52">
        <f>B25*47*0.95</f>
        <v>245575</v>
      </c>
      <c r="AW25" s="52">
        <f>B25*48*0.95</f>
        <v>250800</v>
      </c>
      <c r="AX25" s="52">
        <f>B25*49*0.95</f>
        <v>256025</v>
      </c>
      <c r="AY25" s="52">
        <f>B25*50*0.95</f>
        <v>261250</v>
      </c>
      <c r="AZ25" s="52">
        <f>B25*51*0.95</f>
        <v>266475</v>
      </c>
      <c r="BA25" s="52">
        <f>B25*52*0.95</f>
        <v>271700</v>
      </c>
      <c r="BB25" s="52">
        <f>B25*53*0.95</f>
        <v>276925</v>
      </c>
      <c r="BC25" s="52">
        <f>B25*54*0.95</f>
        <v>282150</v>
      </c>
      <c r="BD25" s="52">
        <f>B25*55*0.95</f>
        <v>287375</v>
      </c>
      <c r="BE25" s="52">
        <f>B25*56*0.95</f>
        <v>292600</v>
      </c>
      <c r="BF25" s="52">
        <f>B25*57*0.95</f>
        <v>297825</v>
      </c>
      <c r="BG25" s="52">
        <f>B25*58*0.95</f>
        <v>303050</v>
      </c>
      <c r="BH25" s="52">
        <f>B25*59*0.95</f>
        <v>308275</v>
      </c>
      <c r="BI25" s="73">
        <f>B25*60*0.95</f>
        <v>313500</v>
      </c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109"/>
    </row>
    <row r="26" spans="1:130">
      <c r="A26" s="51" t="s">
        <v>25</v>
      </c>
      <c r="B26" s="53">
        <f>B25</f>
        <v>5500</v>
      </c>
      <c r="C26" s="53">
        <f t="shared" ref="C26:BI26" si="29">C25</f>
        <v>11000</v>
      </c>
      <c r="D26" s="53">
        <f t="shared" si="29"/>
        <v>16500</v>
      </c>
      <c r="E26" s="53">
        <f t="shared" si="29"/>
        <v>22000</v>
      </c>
      <c r="F26" s="53">
        <f t="shared" si="29"/>
        <v>27500</v>
      </c>
      <c r="G26" s="53">
        <f t="shared" si="29"/>
        <v>33000</v>
      </c>
      <c r="H26" s="53">
        <f t="shared" si="29"/>
        <v>38500</v>
      </c>
      <c r="I26" s="53">
        <f t="shared" si="29"/>
        <v>44000</v>
      </c>
      <c r="J26" s="53">
        <f t="shared" si="29"/>
        <v>49500</v>
      </c>
      <c r="K26" s="53">
        <f t="shared" si="29"/>
        <v>55000</v>
      </c>
      <c r="L26" s="53">
        <f t="shared" si="29"/>
        <v>60500</v>
      </c>
      <c r="M26" s="53">
        <f t="shared" si="29"/>
        <v>66000</v>
      </c>
      <c r="N26" s="53">
        <f t="shared" si="29"/>
        <v>71500</v>
      </c>
      <c r="O26" s="53">
        <f t="shared" si="29"/>
        <v>77000</v>
      </c>
      <c r="P26" s="53">
        <f t="shared" si="29"/>
        <v>82500</v>
      </c>
      <c r="Q26" s="53">
        <f t="shared" si="29"/>
        <v>88000</v>
      </c>
      <c r="R26" s="53">
        <f t="shared" si="29"/>
        <v>93500</v>
      </c>
      <c r="S26" s="53">
        <f t="shared" si="29"/>
        <v>99000</v>
      </c>
      <c r="T26" s="53">
        <f t="shared" si="29"/>
        <v>104500</v>
      </c>
      <c r="U26" s="53">
        <f t="shared" si="29"/>
        <v>110000</v>
      </c>
      <c r="V26" s="53">
        <f t="shared" si="29"/>
        <v>115500</v>
      </c>
      <c r="W26" s="53">
        <f t="shared" si="29"/>
        <v>121000</v>
      </c>
      <c r="X26" s="53">
        <f t="shared" si="29"/>
        <v>126500</v>
      </c>
      <c r="Y26" s="53">
        <f t="shared" si="29"/>
        <v>132000</v>
      </c>
      <c r="Z26" s="53">
        <f t="shared" si="29"/>
        <v>130625</v>
      </c>
      <c r="AA26" s="53">
        <f t="shared" si="29"/>
        <v>135850</v>
      </c>
      <c r="AB26" s="53">
        <f t="shared" si="29"/>
        <v>141075</v>
      </c>
      <c r="AC26" s="53">
        <f t="shared" si="29"/>
        <v>146300</v>
      </c>
      <c r="AD26" s="53">
        <f t="shared" si="29"/>
        <v>151525</v>
      </c>
      <c r="AE26" s="53">
        <f t="shared" si="29"/>
        <v>156750</v>
      </c>
      <c r="AF26" s="53">
        <f t="shared" si="29"/>
        <v>161975</v>
      </c>
      <c r="AG26" s="53">
        <f t="shared" si="29"/>
        <v>167200</v>
      </c>
      <c r="AH26" s="53">
        <f t="shared" si="29"/>
        <v>172425</v>
      </c>
      <c r="AI26" s="53">
        <f t="shared" si="29"/>
        <v>177650</v>
      </c>
      <c r="AJ26" s="53">
        <f t="shared" si="29"/>
        <v>182875</v>
      </c>
      <c r="AK26" s="53">
        <f t="shared" si="29"/>
        <v>188100</v>
      </c>
      <c r="AL26" s="53">
        <f t="shared" si="29"/>
        <v>193325</v>
      </c>
      <c r="AM26" s="53">
        <f t="shared" si="29"/>
        <v>198550</v>
      </c>
      <c r="AN26" s="53">
        <f t="shared" si="29"/>
        <v>203775</v>
      </c>
      <c r="AO26" s="53">
        <f t="shared" si="29"/>
        <v>209000</v>
      </c>
      <c r="AP26" s="53">
        <f t="shared" si="29"/>
        <v>214225</v>
      </c>
      <c r="AQ26" s="53">
        <f t="shared" si="29"/>
        <v>219450</v>
      </c>
      <c r="AR26" s="53">
        <f t="shared" si="29"/>
        <v>224675</v>
      </c>
      <c r="AS26" s="53">
        <f t="shared" si="29"/>
        <v>229900</v>
      </c>
      <c r="AT26" s="53">
        <f t="shared" si="29"/>
        <v>235125</v>
      </c>
      <c r="AU26" s="53">
        <f t="shared" si="29"/>
        <v>240350</v>
      </c>
      <c r="AV26" s="53">
        <f t="shared" si="29"/>
        <v>245575</v>
      </c>
      <c r="AW26" s="53">
        <f t="shared" si="29"/>
        <v>250800</v>
      </c>
      <c r="AX26" s="53">
        <f t="shared" si="29"/>
        <v>256025</v>
      </c>
      <c r="AY26" s="53">
        <f t="shared" si="29"/>
        <v>261250</v>
      </c>
      <c r="AZ26" s="53">
        <f t="shared" si="29"/>
        <v>266475</v>
      </c>
      <c r="BA26" s="53">
        <f t="shared" si="29"/>
        <v>271700</v>
      </c>
      <c r="BB26" s="53">
        <f t="shared" si="29"/>
        <v>276925</v>
      </c>
      <c r="BC26" s="53">
        <f t="shared" si="29"/>
        <v>282150</v>
      </c>
      <c r="BD26" s="53">
        <f t="shared" si="29"/>
        <v>287375</v>
      </c>
      <c r="BE26" s="53">
        <f t="shared" si="29"/>
        <v>292600</v>
      </c>
      <c r="BF26" s="53">
        <f t="shared" si="29"/>
        <v>297825</v>
      </c>
      <c r="BG26" s="53">
        <f t="shared" si="29"/>
        <v>303050</v>
      </c>
      <c r="BH26" s="53">
        <f t="shared" si="29"/>
        <v>308275</v>
      </c>
      <c r="BI26" s="53">
        <f t="shared" si="29"/>
        <v>313500</v>
      </c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</row>
    <row r="27" spans="1:130" s="82" customFormat="1">
      <c r="A27" s="81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</row>
    <row r="28" spans="1:130" ht="15.75">
      <c r="A28" s="111" t="s">
        <v>164</v>
      </c>
      <c r="B28" s="112">
        <f>B6+B10+B14+B18+B22+B26</f>
        <v>30866.666666666664</v>
      </c>
      <c r="C28" s="112">
        <f t="shared" ref="C28:BI28" si="30">C6+C10+C14+C18+C22+C26</f>
        <v>36366.666666666664</v>
      </c>
      <c r="D28" s="112">
        <f t="shared" si="30"/>
        <v>41866.666666666664</v>
      </c>
      <c r="E28" s="112">
        <f t="shared" si="30"/>
        <v>47366.666666666664</v>
      </c>
      <c r="F28" s="112">
        <f t="shared" si="30"/>
        <v>52866.666666666664</v>
      </c>
      <c r="G28" s="112">
        <f t="shared" si="30"/>
        <v>58366.666666666664</v>
      </c>
      <c r="H28" s="112">
        <f t="shared" si="30"/>
        <v>63866.666666666664</v>
      </c>
      <c r="I28" s="112">
        <f t="shared" si="30"/>
        <v>69366.666666666657</v>
      </c>
      <c r="J28" s="112">
        <f t="shared" si="30"/>
        <v>74866.666666666657</v>
      </c>
      <c r="K28" s="112">
        <f t="shared" si="30"/>
        <v>80366.666666666657</v>
      </c>
      <c r="L28" s="112">
        <f t="shared" si="30"/>
        <v>85866.666666666657</v>
      </c>
      <c r="M28" s="112">
        <f t="shared" si="30"/>
        <v>91366.666666666657</v>
      </c>
      <c r="N28" s="112">
        <f t="shared" si="30"/>
        <v>127765.45454545454</v>
      </c>
      <c r="O28" s="112">
        <f t="shared" si="30"/>
        <v>133265.45454545453</v>
      </c>
      <c r="P28" s="112">
        <f t="shared" si="30"/>
        <v>138765.45454545453</v>
      </c>
      <c r="Q28" s="112">
        <f t="shared" si="30"/>
        <v>144265.45454545453</v>
      </c>
      <c r="R28" s="112">
        <f t="shared" si="30"/>
        <v>149765.45454545453</v>
      </c>
      <c r="S28" s="112">
        <f t="shared" si="30"/>
        <v>155265.45454545453</v>
      </c>
      <c r="T28" s="112">
        <f t="shared" si="30"/>
        <v>160765.45454545453</v>
      </c>
      <c r="U28" s="112">
        <f t="shared" si="30"/>
        <v>166265.45454545453</v>
      </c>
      <c r="V28" s="112">
        <f t="shared" si="30"/>
        <v>171765.45454545453</v>
      </c>
      <c r="W28" s="112">
        <f t="shared" si="30"/>
        <v>177265.45454545453</v>
      </c>
      <c r="X28" s="112">
        <f t="shared" si="30"/>
        <v>182765.45454545453</v>
      </c>
      <c r="Y28" s="112">
        <f t="shared" si="30"/>
        <v>188265.45454545453</v>
      </c>
      <c r="Z28" s="112">
        <f t="shared" si="30"/>
        <v>217559.69696969696</v>
      </c>
      <c r="AA28" s="112">
        <f t="shared" si="30"/>
        <v>222784.69696969696</v>
      </c>
      <c r="AB28" s="112">
        <f t="shared" si="30"/>
        <v>228009.69696969696</v>
      </c>
      <c r="AC28" s="112">
        <f t="shared" si="30"/>
        <v>233234.69696969696</v>
      </c>
      <c r="AD28" s="112">
        <f t="shared" si="30"/>
        <v>238459.69696969696</v>
      </c>
      <c r="AE28" s="112">
        <f t="shared" si="30"/>
        <v>243684.69696969696</v>
      </c>
      <c r="AF28" s="112">
        <f t="shared" si="30"/>
        <v>248909.69696969696</v>
      </c>
      <c r="AG28" s="112">
        <f t="shared" si="30"/>
        <v>254134.69696969696</v>
      </c>
      <c r="AH28" s="112">
        <f t="shared" si="30"/>
        <v>259359.69696969696</v>
      </c>
      <c r="AI28" s="112">
        <f t="shared" si="30"/>
        <v>264584.69696969696</v>
      </c>
      <c r="AJ28" s="112">
        <f t="shared" si="30"/>
        <v>269809.69696969696</v>
      </c>
      <c r="AK28" s="112">
        <f t="shared" si="30"/>
        <v>275034.69696969696</v>
      </c>
      <c r="AL28" s="112">
        <f t="shared" si="30"/>
        <v>330638.38636363635</v>
      </c>
      <c r="AM28" s="112">
        <f t="shared" si="30"/>
        <v>335863.38636363635</v>
      </c>
      <c r="AN28" s="112">
        <f t="shared" si="30"/>
        <v>341088.38636363635</v>
      </c>
      <c r="AO28" s="112">
        <f t="shared" si="30"/>
        <v>346313.38636363635</v>
      </c>
      <c r="AP28" s="112">
        <f t="shared" si="30"/>
        <v>351538.38636363635</v>
      </c>
      <c r="AQ28" s="112">
        <f t="shared" si="30"/>
        <v>356763.38636363635</v>
      </c>
      <c r="AR28" s="112">
        <f t="shared" si="30"/>
        <v>361988.38636363635</v>
      </c>
      <c r="AS28" s="112">
        <f t="shared" si="30"/>
        <v>367213.38636363635</v>
      </c>
      <c r="AT28" s="112">
        <f t="shared" si="30"/>
        <v>372438.38636363635</v>
      </c>
      <c r="AU28" s="112">
        <f t="shared" si="30"/>
        <v>377663.38636363635</v>
      </c>
      <c r="AV28" s="112">
        <f t="shared" si="30"/>
        <v>382888.38636363635</v>
      </c>
      <c r="AW28" s="112">
        <f t="shared" si="30"/>
        <v>388113.38636363635</v>
      </c>
      <c r="AX28" s="112">
        <f t="shared" si="30"/>
        <v>480644.44431818184</v>
      </c>
      <c r="AY28" s="112">
        <f t="shared" si="30"/>
        <v>485869.44431818184</v>
      </c>
      <c r="AZ28" s="112">
        <f t="shared" si="30"/>
        <v>491094.44431818184</v>
      </c>
      <c r="BA28" s="112">
        <f t="shared" si="30"/>
        <v>496319.44431818184</v>
      </c>
      <c r="BB28" s="112">
        <f t="shared" si="30"/>
        <v>501544.44431818184</v>
      </c>
      <c r="BC28" s="112">
        <f t="shared" si="30"/>
        <v>506769.44431818184</v>
      </c>
      <c r="BD28" s="112">
        <f t="shared" si="30"/>
        <v>511994.44431818184</v>
      </c>
      <c r="BE28" s="112">
        <f t="shared" si="30"/>
        <v>517219.44431818184</v>
      </c>
      <c r="BF28" s="112">
        <f t="shared" si="30"/>
        <v>522444.44431818184</v>
      </c>
      <c r="BG28" s="112">
        <f t="shared" si="30"/>
        <v>527669.44431818184</v>
      </c>
      <c r="BH28" s="112">
        <f t="shared" si="30"/>
        <v>532894.44431818184</v>
      </c>
      <c r="BI28" s="112">
        <f t="shared" si="30"/>
        <v>538119.44431818184</v>
      </c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</row>
    <row r="29" spans="1:130" s="44" customFormat="1">
      <c r="A29" s="110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</row>
    <row r="30" spans="1:130" s="113" customFormat="1">
      <c r="A30" s="115" t="s">
        <v>93</v>
      </c>
      <c r="B30" s="116" t="s">
        <v>105</v>
      </c>
      <c r="C30" s="116" t="s">
        <v>106</v>
      </c>
      <c r="D30" s="116" t="s">
        <v>107</v>
      </c>
      <c r="E30" s="116" t="s">
        <v>108</v>
      </c>
      <c r="F30" s="116" t="s">
        <v>109</v>
      </c>
    </row>
    <row r="31" spans="1:130">
      <c r="A31" s="45" t="s">
        <v>152</v>
      </c>
      <c r="B31" s="114">
        <f>SUM(B26:M26)</f>
        <v>429000</v>
      </c>
      <c r="C31" s="114">
        <f>SUM(N26:Y26)</f>
        <v>1221000</v>
      </c>
      <c r="D31" s="114">
        <f>SUM(Z26:AK26)</f>
        <v>1912350</v>
      </c>
      <c r="E31" s="114">
        <f>SUM(AL26:AW26)</f>
        <v>2664750</v>
      </c>
      <c r="F31" s="114">
        <f>SUM(AX26:BI26)</f>
        <v>3417150</v>
      </c>
    </row>
    <row r="32" spans="1:130">
      <c r="A32" s="45" t="s">
        <v>150</v>
      </c>
      <c r="B32" s="114">
        <f>SUM(B9:M9)</f>
        <v>6000</v>
      </c>
      <c r="C32" s="114">
        <f>SUM(N9:Y9)</f>
        <v>23040</v>
      </c>
      <c r="D32" s="114">
        <f>SUM(Z9:AK9)</f>
        <v>46080</v>
      </c>
      <c r="E32" s="114">
        <f>SUM(AL9:AW9)</f>
        <v>74880</v>
      </c>
      <c r="F32" s="114">
        <f>SUM(AX9:BI9)</f>
        <v>115200</v>
      </c>
      <c r="G32" s="83"/>
      <c r="H32" s="83"/>
    </row>
    <row r="33" spans="1:8">
      <c r="A33" s="45" t="s">
        <v>151</v>
      </c>
      <c r="B33" s="114">
        <f>SUM(B14:M14)</f>
        <v>128000.00000000001</v>
      </c>
      <c r="C33" s="114">
        <f>SUM(N14:Y14)</f>
        <v>282763.63636363629</v>
      </c>
      <c r="D33" s="114">
        <f>SUM(Z14:AK14)</f>
        <v>491985.45454545465</v>
      </c>
      <c r="E33" s="114">
        <f>SUM(AL14:AW14)</f>
        <v>817570.90909090883</v>
      </c>
      <c r="F33" s="114">
        <f>SUM(AX14:BI14)</f>
        <v>1271127.2727272727</v>
      </c>
      <c r="G33" s="83"/>
      <c r="H33" s="83"/>
    </row>
    <row r="34" spans="1:8">
      <c r="A34" s="45" t="s">
        <v>158</v>
      </c>
      <c r="B34" s="114">
        <f>SUM(B22:M22)</f>
        <v>0</v>
      </c>
      <c r="C34" s="114">
        <f>SUM(N22:Y22)</f>
        <v>26400</v>
      </c>
      <c r="D34" s="114">
        <f>SUM(Z22:AK22)</f>
        <v>37620</v>
      </c>
      <c r="E34" s="114">
        <f>SUM(AL22:AW22)</f>
        <v>48279</v>
      </c>
      <c r="F34" s="114">
        <f>SUM(AX22:BI22)</f>
        <v>58405.049999999996</v>
      </c>
    </row>
    <row r="35" spans="1:8">
      <c r="A35" s="45" t="s">
        <v>149</v>
      </c>
      <c r="B35" s="114">
        <f>SUM(B6:M6)</f>
        <v>143999.99999999997</v>
      </c>
      <c r="C35" s="114">
        <f>SUM(N6:Y6)</f>
        <v>290181.81818181812</v>
      </c>
      <c r="D35" s="114">
        <f>SUM(Z6:AK6)</f>
        <v>392290.90909090894</v>
      </c>
      <c r="E35" s="114">
        <f>SUM(AL6:AW6)</f>
        <v>610472.72727272741</v>
      </c>
      <c r="F35" s="114">
        <f>SUM(AX6:BI6)</f>
        <v>1133890.9090909089</v>
      </c>
      <c r="G35" s="83"/>
      <c r="H35" s="83"/>
    </row>
    <row r="36" spans="1:8">
      <c r="A36" s="45" t="s">
        <v>165</v>
      </c>
      <c r="B36" s="114">
        <f>SUM(B18:M18)</f>
        <v>26400.000000000004</v>
      </c>
      <c r="C36" s="114">
        <f>SUM(N18:Y18)</f>
        <v>52800.000000000007</v>
      </c>
      <c r="D36" s="114">
        <f>SUM(Z18:AK18)</f>
        <v>75240</v>
      </c>
      <c r="E36" s="114">
        <f>SUM(AL18:AW18)</f>
        <v>96558</v>
      </c>
      <c r="F36" s="114">
        <f>SUM(AX18:BI18)</f>
        <v>116810.10000000002</v>
      </c>
    </row>
    <row r="37" spans="1:8">
      <c r="A37" s="118" t="s">
        <v>166</v>
      </c>
      <c r="B37" s="117">
        <f>SUM(B28:M28)</f>
        <v>733399.99999999988</v>
      </c>
      <c r="C37" s="117">
        <f>SUM(N28:Y28)</f>
        <v>1896185.4545454548</v>
      </c>
      <c r="D37" s="117">
        <f>SUM(Z28:AK28)</f>
        <v>2955566.3636363633</v>
      </c>
      <c r="E37" s="117">
        <f>SUM(AL28:AW28)</f>
        <v>4312510.6363636358</v>
      </c>
      <c r="F37" s="117">
        <f>SUM(AX28:BI28)</f>
        <v>6112583.331818182</v>
      </c>
      <c r="G37" s="83"/>
      <c r="H37" s="83"/>
    </row>
  </sheetData>
  <pageMargins left="0.7" right="0.7" top="0.75" bottom="0.75" header="0.3" footer="0.3"/>
  <pageSetup paperSize="9" orientation="portrait" horizontalDpi="300" verticalDpi="300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2"/>
  <sheetViews>
    <sheetView zoomScale="80" zoomScaleNormal="80" zoomScalePageLayoutView="85" workbookViewId="0">
      <selection activeCell="G12" sqref="G12"/>
    </sheetView>
  </sheetViews>
  <sheetFormatPr defaultColWidth="8.85546875" defaultRowHeight="15"/>
  <cols>
    <col min="1" max="1" width="49.85546875" bestFit="1" customWidth="1"/>
    <col min="2" max="2" width="14.42578125" bestFit="1" customWidth="1"/>
    <col min="3" max="4" width="12.42578125" bestFit="1" customWidth="1"/>
    <col min="5" max="5" width="14.42578125" customWidth="1"/>
    <col min="6" max="6" width="12.5703125" customWidth="1"/>
    <col min="7" max="7" width="11.42578125" bestFit="1" customWidth="1"/>
    <col min="8" max="8" width="12.85546875" customWidth="1"/>
    <col min="9" max="13" width="11.42578125" bestFit="1" customWidth="1"/>
    <col min="14" max="14" width="12.7109375" customWidth="1"/>
    <col min="15" max="18" width="11.42578125" bestFit="1" customWidth="1"/>
    <col min="19" max="19" width="13.7109375" customWidth="1"/>
    <col min="20" max="48" width="13.28515625" bestFit="1" customWidth="1"/>
    <col min="49" max="49" width="16" customWidth="1"/>
    <col min="50" max="50" width="14.28515625" customWidth="1"/>
    <col min="51" max="61" width="13.28515625" bestFit="1" customWidth="1"/>
    <col min="63" max="63" width="11.42578125" bestFit="1" customWidth="1"/>
    <col min="80" max="80" width="11.42578125" bestFit="1" customWidth="1"/>
  </cols>
  <sheetData>
    <row r="1" spans="1:92" ht="18">
      <c r="A1" s="99" t="s">
        <v>88</v>
      </c>
      <c r="CH1" s="43"/>
    </row>
    <row r="2" spans="1:92">
      <c r="A2" s="6" t="str">
        <f>CONCATENATE(Company, ": ",start, " -  ",end)</f>
        <v>Tourbr.com: Mês 1 -  Mês 60</v>
      </c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</row>
    <row r="3" spans="1:92" ht="15.75" thickBot="1"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</row>
    <row r="4" spans="1:92" ht="16.5" thickTop="1">
      <c r="A4" s="46" t="s">
        <v>189</v>
      </c>
      <c r="B4" s="49">
        <v>1</v>
      </c>
      <c r="C4" s="50">
        <v>2</v>
      </c>
      <c r="D4" s="49">
        <v>3</v>
      </c>
      <c r="E4" s="49">
        <v>4</v>
      </c>
      <c r="F4" s="50">
        <v>5</v>
      </c>
      <c r="G4" s="49">
        <v>6</v>
      </c>
      <c r="H4" s="49">
        <v>7</v>
      </c>
      <c r="I4" s="50">
        <v>8</v>
      </c>
      <c r="J4" s="49">
        <v>9</v>
      </c>
      <c r="K4" s="49">
        <v>10</v>
      </c>
      <c r="L4" s="50">
        <v>11</v>
      </c>
      <c r="M4" s="49">
        <v>12</v>
      </c>
      <c r="N4" s="49">
        <v>13</v>
      </c>
      <c r="O4" s="50">
        <v>14</v>
      </c>
      <c r="P4" s="49">
        <v>15</v>
      </c>
      <c r="Q4" s="49">
        <v>16</v>
      </c>
      <c r="R4" s="50">
        <v>17</v>
      </c>
      <c r="S4" s="49">
        <v>18</v>
      </c>
      <c r="T4" s="49">
        <v>19</v>
      </c>
      <c r="U4" s="50">
        <v>20</v>
      </c>
      <c r="V4" s="49">
        <v>21</v>
      </c>
      <c r="W4" s="49">
        <v>22</v>
      </c>
      <c r="X4" s="50">
        <v>23</v>
      </c>
      <c r="Y4" s="49">
        <v>24</v>
      </c>
      <c r="Z4" s="49">
        <v>25</v>
      </c>
      <c r="AA4" s="50">
        <v>26</v>
      </c>
      <c r="AB4" s="49">
        <v>27</v>
      </c>
      <c r="AC4" s="49">
        <v>28</v>
      </c>
      <c r="AD4" s="50">
        <v>29</v>
      </c>
      <c r="AE4" s="49">
        <v>30</v>
      </c>
      <c r="AF4" s="49">
        <v>31</v>
      </c>
      <c r="AG4" s="50">
        <v>32</v>
      </c>
      <c r="AH4" s="49">
        <v>33</v>
      </c>
      <c r="AI4" s="49">
        <v>34</v>
      </c>
      <c r="AJ4" s="50">
        <v>35</v>
      </c>
      <c r="AK4" s="49">
        <v>36</v>
      </c>
      <c r="AL4" s="49">
        <v>37</v>
      </c>
      <c r="AM4" s="50">
        <v>38</v>
      </c>
      <c r="AN4" s="49">
        <v>39</v>
      </c>
      <c r="AO4" s="49">
        <v>40</v>
      </c>
      <c r="AP4" s="50">
        <v>41</v>
      </c>
      <c r="AQ4" s="49">
        <v>42</v>
      </c>
      <c r="AR4" s="49">
        <v>43</v>
      </c>
      <c r="AS4" s="50">
        <v>44</v>
      </c>
      <c r="AT4" s="49">
        <v>45</v>
      </c>
      <c r="AU4" s="49">
        <v>46</v>
      </c>
      <c r="AV4" s="50">
        <v>47</v>
      </c>
      <c r="AW4" s="49">
        <v>48</v>
      </c>
      <c r="AX4" s="49">
        <v>49</v>
      </c>
      <c r="AY4" s="50">
        <v>50</v>
      </c>
      <c r="AZ4" s="49">
        <v>51</v>
      </c>
      <c r="BA4" s="49">
        <v>52</v>
      </c>
      <c r="BB4" s="50">
        <v>53</v>
      </c>
      <c r="BC4" s="49">
        <v>54</v>
      </c>
      <c r="BD4" s="49">
        <v>55</v>
      </c>
      <c r="BE4" s="50">
        <v>56</v>
      </c>
      <c r="BF4" s="49">
        <v>57</v>
      </c>
      <c r="BG4" s="49">
        <v>58</v>
      </c>
      <c r="BH4" s="50">
        <v>59</v>
      </c>
      <c r="BI4" s="75">
        <v>60</v>
      </c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44"/>
      <c r="CJ4" s="44"/>
      <c r="CK4" s="44"/>
      <c r="CL4" s="44"/>
      <c r="CM4" s="44"/>
      <c r="CN4" s="44"/>
    </row>
    <row r="5" spans="1:92">
      <c r="A5" s="47" t="s">
        <v>171</v>
      </c>
      <c r="B5" s="52">
        <v>20000</v>
      </c>
      <c r="C5" s="52">
        <v>20000</v>
      </c>
      <c r="D5" s="52">
        <v>20000</v>
      </c>
      <c r="E5" s="52">
        <v>20000</v>
      </c>
      <c r="F5" s="52">
        <v>0</v>
      </c>
      <c r="G5" s="52"/>
      <c r="H5" s="52"/>
      <c r="I5" s="52"/>
      <c r="J5" s="52"/>
      <c r="K5" s="52"/>
      <c r="L5" s="52"/>
      <c r="M5" s="52"/>
      <c r="N5" s="52">
        <v>20000</v>
      </c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>
        <v>20000</v>
      </c>
      <c r="AA5" s="52">
        <v>20000</v>
      </c>
      <c r="AB5" s="52">
        <v>0</v>
      </c>
      <c r="AC5" s="52">
        <v>0</v>
      </c>
      <c r="AD5" s="52"/>
      <c r="AE5" s="52"/>
      <c r="AF5" s="52"/>
      <c r="AG5" s="52"/>
      <c r="AH5" s="52"/>
      <c r="AI5" s="52"/>
      <c r="AJ5" s="52"/>
      <c r="AK5" s="52"/>
      <c r="AL5" s="52">
        <v>20000</v>
      </c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>
        <v>20000</v>
      </c>
      <c r="AY5" s="52">
        <v>0</v>
      </c>
      <c r="AZ5" s="52">
        <v>0</v>
      </c>
      <c r="BA5" s="52"/>
      <c r="BB5" s="52"/>
      <c r="BC5" s="52"/>
      <c r="BD5" s="52"/>
      <c r="BE5" s="52"/>
      <c r="BF5" s="52"/>
      <c r="BG5" s="52"/>
      <c r="BH5" s="52"/>
      <c r="BI5" s="73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44"/>
      <c r="CJ5" s="44"/>
      <c r="CK5" s="44"/>
      <c r="CL5" s="44"/>
      <c r="CM5" s="44"/>
      <c r="CN5" s="44"/>
    </row>
    <row r="6" spans="1:92" ht="15.75" thickBot="1">
      <c r="A6" s="138" t="s">
        <v>190</v>
      </c>
      <c r="B6" s="139">
        <f>5%*B5</f>
        <v>1000</v>
      </c>
      <c r="C6" s="139">
        <f t="shared" ref="C6:BI6" si="0">5%*C5</f>
        <v>1000</v>
      </c>
      <c r="D6" s="139">
        <f t="shared" si="0"/>
        <v>1000</v>
      </c>
      <c r="E6" s="139">
        <f t="shared" si="0"/>
        <v>1000</v>
      </c>
      <c r="F6" s="139">
        <f t="shared" si="0"/>
        <v>0</v>
      </c>
      <c r="G6" s="139">
        <f t="shared" si="0"/>
        <v>0</v>
      </c>
      <c r="H6" s="139">
        <f t="shared" si="0"/>
        <v>0</v>
      </c>
      <c r="I6" s="139">
        <f t="shared" si="0"/>
        <v>0</v>
      </c>
      <c r="J6" s="139">
        <f t="shared" si="0"/>
        <v>0</v>
      </c>
      <c r="K6" s="139">
        <f t="shared" si="0"/>
        <v>0</v>
      </c>
      <c r="L6" s="139">
        <f t="shared" si="0"/>
        <v>0</v>
      </c>
      <c r="M6" s="139">
        <f t="shared" si="0"/>
        <v>0</v>
      </c>
      <c r="N6" s="139">
        <f t="shared" si="0"/>
        <v>1000</v>
      </c>
      <c r="O6" s="139">
        <f t="shared" si="0"/>
        <v>0</v>
      </c>
      <c r="P6" s="139">
        <f t="shared" si="0"/>
        <v>0</v>
      </c>
      <c r="Q6" s="139">
        <f t="shared" si="0"/>
        <v>0</v>
      </c>
      <c r="R6" s="139">
        <f t="shared" si="0"/>
        <v>0</v>
      </c>
      <c r="S6" s="139">
        <f t="shared" si="0"/>
        <v>0</v>
      </c>
      <c r="T6" s="139">
        <f t="shared" si="0"/>
        <v>0</v>
      </c>
      <c r="U6" s="139">
        <f t="shared" si="0"/>
        <v>0</v>
      </c>
      <c r="V6" s="139">
        <f t="shared" si="0"/>
        <v>0</v>
      </c>
      <c r="W6" s="139">
        <f t="shared" si="0"/>
        <v>0</v>
      </c>
      <c r="X6" s="139">
        <f t="shared" si="0"/>
        <v>0</v>
      </c>
      <c r="Y6" s="139">
        <f t="shared" si="0"/>
        <v>0</v>
      </c>
      <c r="Z6" s="139">
        <f t="shared" si="0"/>
        <v>1000</v>
      </c>
      <c r="AA6" s="139">
        <f t="shared" si="0"/>
        <v>1000</v>
      </c>
      <c r="AB6" s="139">
        <f t="shared" si="0"/>
        <v>0</v>
      </c>
      <c r="AC6" s="139">
        <f t="shared" si="0"/>
        <v>0</v>
      </c>
      <c r="AD6" s="139">
        <f t="shared" si="0"/>
        <v>0</v>
      </c>
      <c r="AE6" s="139">
        <f t="shared" si="0"/>
        <v>0</v>
      </c>
      <c r="AF6" s="139">
        <f t="shared" si="0"/>
        <v>0</v>
      </c>
      <c r="AG6" s="139">
        <f t="shared" si="0"/>
        <v>0</v>
      </c>
      <c r="AH6" s="139">
        <f t="shared" si="0"/>
        <v>0</v>
      </c>
      <c r="AI6" s="139">
        <f t="shared" si="0"/>
        <v>0</v>
      </c>
      <c r="AJ6" s="139">
        <f t="shared" si="0"/>
        <v>0</v>
      </c>
      <c r="AK6" s="139">
        <f t="shared" si="0"/>
        <v>0</v>
      </c>
      <c r="AL6" s="139">
        <f t="shared" si="0"/>
        <v>1000</v>
      </c>
      <c r="AM6" s="139">
        <f t="shared" si="0"/>
        <v>0</v>
      </c>
      <c r="AN6" s="139">
        <f t="shared" si="0"/>
        <v>0</v>
      </c>
      <c r="AO6" s="139">
        <f t="shared" si="0"/>
        <v>0</v>
      </c>
      <c r="AP6" s="139">
        <f t="shared" si="0"/>
        <v>0</v>
      </c>
      <c r="AQ6" s="139">
        <f t="shared" si="0"/>
        <v>0</v>
      </c>
      <c r="AR6" s="139">
        <f t="shared" si="0"/>
        <v>0</v>
      </c>
      <c r="AS6" s="139">
        <f t="shared" si="0"/>
        <v>0</v>
      </c>
      <c r="AT6" s="139">
        <f t="shared" si="0"/>
        <v>0</v>
      </c>
      <c r="AU6" s="139">
        <f t="shared" si="0"/>
        <v>0</v>
      </c>
      <c r="AV6" s="139">
        <f t="shared" si="0"/>
        <v>0</v>
      </c>
      <c r="AW6" s="139">
        <f t="shared" si="0"/>
        <v>0</v>
      </c>
      <c r="AX6" s="139">
        <f t="shared" si="0"/>
        <v>1000</v>
      </c>
      <c r="AY6" s="139">
        <f t="shared" si="0"/>
        <v>0</v>
      </c>
      <c r="AZ6" s="139">
        <f t="shared" si="0"/>
        <v>0</v>
      </c>
      <c r="BA6" s="139">
        <f t="shared" si="0"/>
        <v>0</v>
      </c>
      <c r="BB6" s="139">
        <f t="shared" si="0"/>
        <v>0</v>
      </c>
      <c r="BC6" s="139">
        <f t="shared" si="0"/>
        <v>0</v>
      </c>
      <c r="BD6" s="139">
        <f t="shared" si="0"/>
        <v>0</v>
      </c>
      <c r="BE6" s="139">
        <f t="shared" si="0"/>
        <v>0</v>
      </c>
      <c r="BF6" s="139">
        <f t="shared" si="0"/>
        <v>0</v>
      </c>
      <c r="BG6" s="139">
        <f t="shared" si="0"/>
        <v>0</v>
      </c>
      <c r="BH6" s="139">
        <f t="shared" si="0"/>
        <v>0</v>
      </c>
      <c r="BI6" s="139">
        <f t="shared" si="0"/>
        <v>0</v>
      </c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44"/>
      <c r="CJ6" s="44"/>
      <c r="CK6" s="44"/>
      <c r="CL6" s="44"/>
      <c r="CM6" s="44"/>
      <c r="CN6" s="44"/>
    </row>
    <row r="7" spans="1:92" ht="15.75" thickBot="1">
      <c r="A7" s="188" t="s">
        <v>25</v>
      </c>
      <c r="B7" s="54">
        <f>SUM(B5:B6)</f>
        <v>21000</v>
      </c>
      <c r="C7" s="54">
        <f t="shared" ref="C7:BI7" si="1">SUM(C5:C6)</f>
        <v>21000</v>
      </c>
      <c r="D7" s="54">
        <f t="shared" si="1"/>
        <v>21000</v>
      </c>
      <c r="E7" s="54">
        <f t="shared" si="1"/>
        <v>21000</v>
      </c>
      <c r="F7" s="54">
        <f t="shared" si="1"/>
        <v>0</v>
      </c>
      <c r="G7" s="54">
        <f t="shared" si="1"/>
        <v>0</v>
      </c>
      <c r="H7" s="54">
        <f t="shared" si="1"/>
        <v>0</v>
      </c>
      <c r="I7" s="54">
        <f t="shared" si="1"/>
        <v>0</v>
      </c>
      <c r="J7" s="54">
        <f t="shared" si="1"/>
        <v>0</v>
      </c>
      <c r="K7" s="54">
        <f t="shared" si="1"/>
        <v>0</v>
      </c>
      <c r="L7" s="54">
        <f t="shared" si="1"/>
        <v>0</v>
      </c>
      <c r="M7" s="54">
        <f t="shared" si="1"/>
        <v>0</v>
      </c>
      <c r="N7" s="54">
        <f t="shared" si="1"/>
        <v>21000</v>
      </c>
      <c r="O7" s="54">
        <f t="shared" si="1"/>
        <v>0</v>
      </c>
      <c r="P7" s="54">
        <f t="shared" si="1"/>
        <v>0</v>
      </c>
      <c r="Q7" s="54">
        <f t="shared" si="1"/>
        <v>0</v>
      </c>
      <c r="R7" s="54">
        <f t="shared" si="1"/>
        <v>0</v>
      </c>
      <c r="S7" s="54">
        <f t="shared" si="1"/>
        <v>0</v>
      </c>
      <c r="T7" s="54">
        <f t="shared" si="1"/>
        <v>0</v>
      </c>
      <c r="U7" s="54">
        <f t="shared" si="1"/>
        <v>0</v>
      </c>
      <c r="V7" s="54">
        <f t="shared" si="1"/>
        <v>0</v>
      </c>
      <c r="W7" s="54">
        <f t="shared" si="1"/>
        <v>0</v>
      </c>
      <c r="X7" s="54">
        <f t="shared" si="1"/>
        <v>0</v>
      </c>
      <c r="Y7" s="54">
        <f t="shared" si="1"/>
        <v>0</v>
      </c>
      <c r="Z7" s="54">
        <f t="shared" si="1"/>
        <v>21000</v>
      </c>
      <c r="AA7" s="54">
        <f t="shared" si="1"/>
        <v>21000</v>
      </c>
      <c r="AB7" s="54">
        <f t="shared" si="1"/>
        <v>0</v>
      </c>
      <c r="AC7" s="54">
        <f t="shared" si="1"/>
        <v>0</v>
      </c>
      <c r="AD7" s="54">
        <f t="shared" si="1"/>
        <v>0</v>
      </c>
      <c r="AE7" s="54">
        <f t="shared" si="1"/>
        <v>0</v>
      </c>
      <c r="AF7" s="54">
        <f t="shared" si="1"/>
        <v>0</v>
      </c>
      <c r="AG7" s="54">
        <f t="shared" si="1"/>
        <v>0</v>
      </c>
      <c r="AH7" s="54">
        <f t="shared" si="1"/>
        <v>0</v>
      </c>
      <c r="AI7" s="54">
        <f t="shared" si="1"/>
        <v>0</v>
      </c>
      <c r="AJ7" s="54">
        <f t="shared" si="1"/>
        <v>0</v>
      </c>
      <c r="AK7" s="54">
        <f t="shared" si="1"/>
        <v>0</v>
      </c>
      <c r="AL7" s="54">
        <f t="shared" si="1"/>
        <v>21000</v>
      </c>
      <c r="AM7" s="54">
        <f t="shared" si="1"/>
        <v>0</v>
      </c>
      <c r="AN7" s="54">
        <f t="shared" si="1"/>
        <v>0</v>
      </c>
      <c r="AO7" s="54">
        <f t="shared" si="1"/>
        <v>0</v>
      </c>
      <c r="AP7" s="54">
        <f t="shared" si="1"/>
        <v>0</v>
      </c>
      <c r="AQ7" s="54">
        <f t="shared" si="1"/>
        <v>0</v>
      </c>
      <c r="AR7" s="54">
        <f t="shared" si="1"/>
        <v>0</v>
      </c>
      <c r="AS7" s="54">
        <f t="shared" si="1"/>
        <v>0</v>
      </c>
      <c r="AT7" s="54">
        <f t="shared" si="1"/>
        <v>0</v>
      </c>
      <c r="AU7" s="54">
        <f t="shared" si="1"/>
        <v>0</v>
      </c>
      <c r="AV7" s="54">
        <f t="shared" si="1"/>
        <v>0</v>
      </c>
      <c r="AW7" s="54">
        <f t="shared" si="1"/>
        <v>0</v>
      </c>
      <c r="AX7" s="54">
        <f t="shared" si="1"/>
        <v>21000</v>
      </c>
      <c r="AY7" s="54">
        <f t="shared" si="1"/>
        <v>0</v>
      </c>
      <c r="AZ7" s="54">
        <f t="shared" si="1"/>
        <v>0</v>
      </c>
      <c r="BA7" s="54">
        <f t="shared" si="1"/>
        <v>0</v>
      </c>
      <c r="BB7" s="54">
        <f t="shared" si="1"/>
        <v>0</v>
      </c>
      <c r="BC7" s="54">
        <f t="shared" si="1"/>
        <v>0</v>
      </c>
      <c r="BD7" s="54">
        <f t="shared" si="1"/>
        <v>0</v>
      </c>
      <c r="BE7" s="54">
        <f t="shared" si="1"/>
        <v>0</v>
      </c>
      <c r="BF7" s="54">
        <f t="shared" si="1"/>
        <v>0</v>
      </c>
      <c r="BG7" s="54">
        <f t="shared" si="1"/>
        <v>0</v>
      </c>
      <c r="BH7" s="54">
        <f t="shared" si="1"/>
        <v>0</v>
      </c>
      <c r="BI7" s="54">
        <f t="shared" si="1"/>
        <v>0</v>
      </c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44"/>
      <c r="CJ7" s="44"/>
      <c r="CK7" s="44"/>
      <c r="CL7" s="44"/>
      <c r="CM7" s="44"/>
      <c r="CN7" s="44"/>
    </row>
    <row r="8" spans="1:92" ht="15.75" thickTop="1">
      <c r="CH8" s="44"/>
    </row>
    <row r="9" spans="1:92">
      <c r="A9" s="186" t="s">
        <v>202</v>
      </c>
      <c r="B9" s="187" t="s">
        <v>105</v>
      </c>
      <c r="C9" s="187" t="s">
        <v>106</v>
      </c>
      <c r="D9" s="187" t="s">
        <v>107</v>
      </c>
      <c r="E9" s="187" t="s">
        <v>108</v>
      </c>
      <c r="F9" s="187" t="s">
        <v>109</v>
      </c>
    </row>
    <row r="10" spans="1:92">
      <c r="A10" s="158" t="s">
        <v>171</v>
      </c>
      <c r="B10" s="189">
        <f>SUM(B5:M5)</f>
        <v>80000</v>
      </c>
      <c r="C10" s="189">
        <f>SUM(N5:Y5)</f>
        <v>20000</v>
      </c>
      <c r="D10" s="189">
        <f>SUM(Z5:AK5)</f>
        <v>40000</v>
      </c>
      <c r="E10" s="189">
        <f>SUM(AL5:AW5)</f>
        <v>20000</v>
      </c>
      <c r="F10" s="189">
        <f>SUM(AX5:BI5)</f>
        <v>20000</v>
      </c>
    </row>
    <row r="11" spans="1:92">
      <c r="A11" s="158" t="s">
        <v>190</v>
      </c>
      <c r="B11" s="189">
        <f>SUM(B6:M6)</f>
        <v>4000</v>
      </c>
      <c r="C11" s="189">
        <f>SUM(N6:Y6)</f>
        <v>1000</v>
      </c>
      <c r="D11" s="189">
        <f>SUM(Z6:AK6)</f>
        <v>2000</v>
      </c>
      <c r="E11" s="189">
        <f>SUM(AL6:AW6)</f>
        <v>1000</v>
      </c>
      <c r="F11" s="189">
        <f>SUM(AX6:BI6)</f>
        <v>1000</v>
      </c>
    </row>
    <row r="12" spans="1:92">
      <c r="A12" s="190" t="s">
        <v>25</v>
      </c>
      <c r="B12" s="191">
        <f>SUM(B10:B11)</f>
        <v>84000</v>
      </c>
      <c r="C12" s="191">
        <f t="shared" ref="C12:F12" si="2">SUM(C10:C11)</f>
        <v>21000</v>
      </c>
      <c r="D12" s="191">
        <f t="shared" si="2"/>
        <v>42000</v>
      </c>
      <c r="E12" s="191">
        <f t="shared" si="2"/>
        <v>21000</v>
      </c>
      <c r="F12" s="191">
        <f t="shared" si="2"/>
        <v>21000</v>
      </c>
    </row>
  </sheetData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33"/>
  <sheetViews>
    <sheetView topLeftCell="A3" zoomScale="80" zoomScaleNormal="80" zoomScalePageLayoutView="85" workbookViewId="0">
      <selection activeCell="G33" sqref="G33"/>
    </sheetView>
  </sheetViews>
  <sheetFormatPr defaultColWidth="8.85546875" defaultRowHeight="15"/>
  <cols>
    <col min="1" max="1" width="61.42578125" customWidth="1"/>
    <col min="2" max="2" width="13.85546875" bestFit="1" customWidth="1"/>
    <col min="3" max="3" width="12.85546875" customWidth="1"/>
    <col min="4" max="4" width="13" customWidth="1"/>
    <col min="5" max="5" width="12.42578125" customWidth="1"/>
    <col min="6" max="6" width="12.140625" customWidth="1"/>
    <col min="7" max="13" width="10.85546875" bestFit="1" customWidth="1"/>
    <col min="14" max="61" width="11.5703125" bestFit="1" customWidth="1"/>
    <col min="62" max="62" width="15.42578125" customWidth="1"/>
    <col min="63" max="63" width="11.42578125" customWidth="1"/>
    <col min="64" max="64" width="13.42578125" customWidth="1"/>
    <col min="65" max="72" width="9.5703125" bestFit="1" customWidth="1"/>
    <col min="73" max="73" width="13" customWidth="1"/>
    <col min="74" max="74" width="16.28515625" customWidth="1"/>
    <col min="75" max="75" width="10.5703125" bestFit="1" customWidth="1"/>
    <col min="76" max="84" width="9.5703125" bestFit="1" customWidth="1"/>
    <col min="85" max="85" width="12.85546875" customWidth="1"/>
  </cols>
  <sheetData>
    <row r="1" spans="1:86" ht="18">
      <c r="A1" s="99" t="s">
        <v>27</v>
      </c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</row>
    <row r="2" spans="1:86">
      <c r="A2" s="6" t="str">
        <f>CONCATENATE(Company, ": ",start, " -  ",end)</f>
        <v>Tourbr.com: Mês 1 -  Mês 60</v>
      </c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</row>
    <row r="3" spans="1:86" ht="15.75" thickBot="1"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</row>
    <row r="4" spans="1:86" ht="16.5" thickTop="1">
      <c r="A4" s="46" t="s">
        <v>71</v>
      </c>
      <c r="B4" s="49">
        <v>1</v>
      </c>
      <c r="C4" s="50">
        <v>2</v>
      </c>
      <c r="D4" s="49">
        <v>3</v>
      </c>
      <c r="E4" s="49">
        <v>4</v>
      </c>
      <c r="F4" s="50">
        <v>5</v>
      </c>
      <c r="G4" s="49">
        <v>6</v>
      </c>
      <c r="H4" s="49">
        <v>7</v>
      </c>
      <c r="I4" s="50">
        <v>8</v>
      </c>
      <c r="J4" s="49">
        <v>9</v>
      </c>
      <c r="K4" s="49">
        <v>10</v>
      </c>
      <c r="L4" s="50">
        <v>11</v>
      </c>
      <c r="M4" s="49">
        <v>12</v>
      </c>
      <c r="N4" s="49">
        <v>13</v>
      </c>
      <c r="O4" s="50">
        <v>14</v>
      </c>
      <c r="P4" s="49">
        <v>15</v>
      </c>
      <c r="Q4" s="49">
        <v>16</v>
      </c>
      <c r="R4" s="50">
        <v>17</v>
      </c>
      <c r="S4" s="49">
        <v>18</v>
      </c>
      <c r="T4" s="49">
        <v>19</v>
      </c>
      <c r="U4" s="50">
        <v>20</v>
      </c>
      <c r="V4" s="49">
        <v>21</v>
      </c>
      <c r="W4" s="49">
        <v>22</v>
      </c>
      <c r="X4" s="50">
        <v>23</v>
      </c>
      <c r="Y4" s="49">
        <v>24</v>
      </c>
      <c r="Z4" s="49">
        <v>25</v>
      </c>
      <c r="AA4" s="50">
        <v>26</v>
      </c>
      <c r="AB4" s="49">
        <v>27</v>
      </c>
      <c r="AC4" s="49">
        <v>28</v>
      </c>
      <c r="AD4" s="50">
        <v>29</v>
      </c>
      <c r="AE4" s="49">
        <v>30</v>
      </c>
      <c r="AF4" s="49">
        <v>31</v>
      </c>
      <c r="AG4" s="50">
        <v>32</v>
      </c>
      <c r="AH4" s="49">
        <v>33</v>
      </c>
      <c r="AI4" s="49">
        <v>34</v>
      </c>
      <c r="AJ4" s="50">
        <v>35</v>
      </c>
      <c r="AK4" s="49">
        <v>36</v>
      </c>
      <c r="AL4" s="49">
        <v>37</v>
      </c>
      <c r="AM4" s="50">
        <v>38</v>
      </c>
      <c r="AN4" s="49">
        <v>39</v>
      </c>
      <c r="AO4" s="49">
        <v>40</v>
      </c>
      <c r="AP4" s="50">
        <v>41</v>
      </c>
      <c r="AQ4" s="49">
        <v>42</v>
      </c>
      <c r="AR4" s="49">
        <v>43</v>
      </c>
      <c r="AS4" s="50">
        <v>44</v>
      </c>
      <c r="AT4" s="49">
        <v>45</v>
      </c>
      <c r="AU4" s="49">
        <v>46</v>
      </c>
      <c r="AV4" s="50">
        <v>47</v>
      </c>
      <c r="AW4" s="49">
        <v>48</v>
      </c>
      <c r="AX4" s="49">
        <v>49</v>
      </c>
      <c r="AY4" s="50">
        <v>50</v>
      </c>
      <c r="AZ4" s="49">
        <v>51</v>
      </c>
      <c r="BA4" s="49">
        <v>52</v>
      </c>
      <c r="BB4" s="50">
        <v>53</v>
      </c>
      <c r="BC4" s="49">
        <v>54</v>
      </c>
      <c r="BD4" s="49">
        <v>55</v>
      </c>
      <c r="BE4" s="50">
        <v>56</v>
      </c>
      <c r="BF4" s="49">
        <v>57</v>
      </c>
      <c r="BG4" s="49">
        <v>58</v>
      </c>
      <c r="BH4" s="50">
        <v>59</v>
      </c>
      <c r="BI4" s="75">
        <v>60</v>
      </c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44"/>
    </row>
    <row r="5" spans="1:86">
      <c r="A5" s="48" t="s">
        <v>197</v>
      </c>
      <c r="B5" s="52">
        <v>1000</v>
      </c>
      <c r="C5" s="52">
        <f>B5</f>
        <v>1000</v>
      </c>
      <c r="D5" s="52">
        <f t="shared" ref="D5:M5" si="0">C5</f>
        <v>1000</v>
      </c>
      <c r="E5" s="52">
        <f t="shared" si="0"/>
        <v>1000</v>
      </c>
      <c r="F5" s="52">
        <f t="shared" si="0"/>
        <v>1000</v>
      </c>
      <c r="G5" s="52">
        <f t="shared" si="0"/>
        <v>1000</v>
      </c>
      <c r="H5" s="52">
        <f t="shared" si="0"/>
        <v>1000</v>
      </c>
      <c r="I5" s="52">
        <f t="shared" si="0"/>
        <v>1000</v>
      </c>
      <c r="J5" s="52">
        <f t="shared" si="0"/>
        <v>1000</v>
      </c>
      <c r="K5" s="52">
        <f t="shared" si="0"/>
        <v>1000</v>
      </c>
      <c r="L5" s="52">
        <f t="shared" si="0"/>
        <v>1000</v>
      </c>
      <c r="M5" s="52">
        <f t="shared" si="0"/>
        <v>1000</v>
      </c>
      <c r="N5" s="63">
        <f>M5</f>
        <v>1000</v>
      </c>
      <c r="O5" s="52">
        <f>N5</f>
        <v>1000</v>
      </c>
      <c r="P5" s="52">
        <f t="shared" ref="P5:Y5" si="1">O5</f>
        <v>1000</v>
      </c>
      <c r="Q5" s="52">
        <f t="shared" si="1"/>
        <v>1000</v>
      </c>
      <c r="R5" s="52">
        <f t="shared" si="1"/>
        <v>1000</v>
      </c>
      <c r="S5" s="52">
        <f t="shared" si="1"/>
        <v>1000</v>
      </c>
      <c r="T5" s="52">
        <f t="shared" si="1"/>
        <v>1000</v>
      </c>
      <c r="U5" s="52">
        <f t="shared" si="1"/>
        <v>1000</v>
      </c>
      <c r="V5" s="52">
        <f t="shared" si="1"/>
        <v>1000</v>
      </c>
      <c r="W5" s="52">
        <f t="shared" si="1"/>
        <v>1000</v>
      </c>
      <c r="X5" s="52">
        <f t="shared" si="1"/>
        <v>1000</v>
      </c>
      <c r="Y5" s="52">
        <f t="shared" si="1"/>
        <v>1000</v>
      </c>
      <c r="Z5" s="52">
        <f>Y5</f>
        <v>1000</v>
      </c>
      <c r="AA5" s="52">
        <f>Z5</f>
        <v>1000</v>
      </c>
      <c r="AB5" s="52">
        <f t="shared" ref="AB5:AK5" si="2">AA5</f>
        <v>1000</v>
      </c>
      <c r="AC5" s="52">
        <f t="shared" si="2"/>
        <v>1000</v>
      </c>
      <c r="AD5" s="52">
        <f t="shared" si="2"/>
        <v>1000</v>
      </c>
      <c r="AE5" s="52">
        <f t="shared" si="2"/>
        <v>1000</v>
      </c>
      <c r="AF5" s="52">
        <f t="shared" si="2"/>
        <v>1000</v>
      </c>
      <c r="AG5" s="52">
        <f t="shared" si="2"/>
        <v>1000</v>
      </c>
      <c r="AH5" s="52">
        <f t="shared" si="2"/>
        <v>1000</v>
      </c>
      <c r="AI5" s="52">
        <f t="shared" si="2"/>
        <v>1000</v>
      </c>
      <c r="AJ5" s="52">
        <f t="shared" si="2"/>
        <v>1000</v>
      </c>
      <c r="AK5" s="52">
        <f t="shared" si="2"/>
        <v>1000</v>
      </c>
      <c r="AL5" s="52">
        <f>AK5</f>
        <v>1000</v>
      </c>
      <c r="AM5" s="52">
        <f>AL5</f>
        <v>1000</v>
      </c>
      <c r="AN5" s="52">
        <f t="shared" ref="AN5:AW5" si="3">AM5</f>
        <v>1000</v>
      </c>
      <c r="AO5" s="52">
        <f t="shared" si="3"/>
        <v>1000</v>
      </c>
      <c r="AP5" s="52">
        <f t="shared" si="3"/>
        <v>1000</v>
      </c>
      <c r="AQ5" s="52">
        <f t="shared" si="3"/>
        <v>1000</v>
      </c>
      <c r="AR5" s="52">
        <f t="shared" si="3"/>
        <v>1000</v>
      </c>
      <c r="AS5" s="52">
        <f t="shared" si="3"/>
        <v>1000</v>
      </c>
      <c r="AT5" s="52">
        <f t="shared" si="3"/>
        <v>1000</v>
      </c>
      <c r="AU5" s="52">
        <f t="shared" si="3"/>
        <v>1000</v>
      </c>
      <c r="AV5" s="52">
        <f t="shared" si="3"/>
        <v>1000</v>
      </c>
      <c r="AW5" s="52">
        <f t="shared" si="3"/>
        <v>1000</v>
      </c>
      <c r="AX5" s="52">
        <f>AW5</f>
        <v>1000</v>
      </c>
      <c r="AY5" s="52">
        <f>AX5</f>
        <v>1000</v>
      </c>
      <c r="AZ5" s="52">
        <f t="shared" ref="AZ5:BI14" si="4">AY5</f>
        <v>1000</v>
      </c>
      <c r="BA5" s="52">
        <f t="shared" si="4"/>
        <v>1000</v>
      </c>
      <c r="BB5" s="52">
        <f t="shared" si="4"/>
        <v>1000</v>
      </c>
      <c r="BC5" s="52">
        <f t="shared" si="4"/>
        <v>1000</v>
      </c>
      <c r="BD5" s="52">
        <f t="shared" si="4"/>
        <v>1000</v>
      </c>
      <c r="BE5" s="52">
        <f t="shared" si="4"/>
        <v>1000</v>
      </c>
      <c r="BF5" s="52">
        <f t="shared" si="4"/>
        <v>1000</v>
      </c>
      <c r="BG5" s="52">
        <f t="shared" si="4"/>
        <v>1000</v>
      </c>
      <c r="BH5" s="52">
        <f t="shared" si="4"/>
        <v>1000</v>
      </c>
      <c r="BI5" s="73">
        <f t="shared" si="4"/>
        <v>1000</v>
      </c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44"/>
    </row>
    <row r="6" spans="1:86">
      <c r="A6" s="48" t="s">
        <v>89</v>
      </c>
      <c r="B6" s="52">
        <v>500</v>
      </c>
      <c r="C6" s="52">
        <f t="shared" ref="C6:M14" si="5">B6</f>
        <v>500</v>
      </c>
      <c r="D6" s="52">
        <f t="shared" si="5"/>
        <v>500</v>
      </c>
      <c r="E6" s="52">
        <f t="shared" si="5"/>
        <v>500</v>
      </c>
      <c r="F6" s="52">
        <f t="shared" si="5"/>
        <v>500</v>
      </c>
      <c r="G6" s="52">
        <f t="shared" si="5"/>
        <v>500</v>
      </c>
      <c r="H6" s="52">
        <f t="shared" si="5"/>
        <v>500</v>
      </c>
      <c r="I6" s="52">
        <f t="shared" si="5"/>
        <v>500</v>
      </c>
      <c r="J6" s="52">
        <f t="shared" si="5"/>
        <v>500</v>
      </c>
      <c r="K6" s="52">
        <f t="shared" si="5"/>
        <v>500</v>
      </c>
      <c r="L6" s="52">
        <f t="shared" si="5"/>
        <v>500</v>
      </c>
      <c r="M6" s="52">
        <f t="shared" si="5"/>
        <v>500</v>
      </c>
      <c r="N6" s="63">
        <f t="shared" ref="N6:N14" si="6">M6</f>
        <v>500</v>
      </c>
      <c r="O6" s="52">
        <f t="shared" ref="O6:Y14" si="7">N6</f>
        <v>500</v>
      </c>
      <c r="P6" s="52">
        <f t="shared" si="7"/>
        <v>500</v>
      </c>
      <c r="Q6" s="52">
        <f t="shared" si="7"/>
        <v>500</v>
      </c>
      <c r="R6" s="52">
        <f t="shared" si="7"/>
        <v>500</v>
      </c>
      <c r="S6" s="52">
        <f t="shared" si="7"/>
        <v>500</v>
      </c>
      <c r="T6" s="52">
        <f t="shared" si="7"/>
        <v>500</v>
      </c>
      <c r="U6" s="52">
        <f t="shared" si="7"/>
        <v>500</v>
      </c>
      <c r="V6" s="52">
        <f t="shared" si="7"/>
        <v>500</v>
      </c>
      <c r="W6" s="52">
        <f t="shared" si="7"/>
        <v>500</v>
      </c>
      <c r="X6" s="52">
        <f t="shared" si="7"/>
        <v>500</v>
      </c>
      <c r="Y6" s="52">
        <f t="shared" si="7"/>
        <v>500</v>
      </c>
      <c r="Z6" s="52">
        <v>600</v>
      </c>
      <c r="AA6" s="52">
        <f t="shared" ref="AA6:AK14" si="8">Z6</f>
        <v>600</v>
      </c>
      <c r="AB6" s="52">
        <f t="shared" si="8"/>
        <v>600</v>
      </c>
      <c r="AC6" s="52">
        <f t="shared" si="8"/>
        <v>600</v>
      </c>
      <c r="AD6" s="52">
        <f t="shared" si="8"/>
        <v>600</v>
      </c>
      <c r="AE6" s="52">
        <f t="shared" si="8"/>
        <v>600</v>
      </c>
      <c r="AF6" s="52">
        <f t="shared" si="8"/>
        <v>600</v>
      </c>
      <c r="AG6" s="52">
        <f t="shared" si="8"/>
        <v>600</v>
      </c>
      <c r="AH6" s="52">
        <f t="shared" si="8"/>
        <v>600</v>
      </c>
      <c r="AI6" s="52">
        <f t="shared" si="8"/>
        <v>600</v>
      </c>
      <c r="AJ6" s="52">
        <f t="shared" si="8"/>
        <v>600</v>
      </c>
      <c r="AK6" s="52">
        <f t="shared" si="8"/>
        <v>600</v>
      </c>
      <c r="AL6" s="52">
        <f t="shared" ref="AL6:AL14" si="9">AK6</f>
        <v>600</v>
      </c>
      <c r="AM6" s="52">
        <f t="shared" ref="AM6:AW14" si="10">AL6</f>
        <v>600</v>
      </c>
      <c r="AN6" s="52">
        <f t="shared" si="10"/>
        <v>600</v>
      </c>
      <c r="AO6" s="52">
        <f t="shared" si="10"/>
        <v>600</v>
      </c>
      <c r="AP6" s="52">
        <f t="shared" si="10"/>
        <v>600</v>
      </c>
      <c r="AQ6" s="52">
        <f t="shared" si="10"/>
        <v>600</v>
      </c>
      <c r="AR6" s="52">
        <f t="shared" si="10"/>
        <v>600</v>
      </c>
      <c r="AS6" s="52">
        <f t="shared" si="10"/>
        <v>600</v>
      </c>
      <c r="AT6" s="52">
        <f t="shared" si="10"/>
        <v>600</v>
      </c>
      <c r="AU6" s="52">
        <f t="shared" si="10"/>
        <v>600</v>
      </c>
      <c r="AV6" s="52">
        <f t="shared" si="10"/>
        <v>600</v>
      </c>
      <c r="AW6" s="52">
        <f t="shared" si="10"/>
        <v>600</v>
      </c>
      <c r="AX6" s="52">
        <v>800</v>
      </c>
      <c r="AY6" s="52">
        <f t="shared" ref="AY6:BH14" si="11">AX6</f>
        <v>800</v>
      </c>
      <c r="AZ6" s="52">
        <f t="shared" si="11"/>
        <v>800</v>
      </c>
      <c r="BA6" s="52">
        <f t="shared" si="11"/>
        <v>800</v>
      </c>
      <c r="BB6" s="52">
        <f t="shared" si="11"/>
        <v>800</v>
      </c>
      <c r="BC6" s="52">
        <f t="shared" si="11"/>
        <v>800</v>
      </c>
      <c r="BD6" s="52">
        <f t="shared" si="11"/>
        <v>800</v>
      </c>
      <c r="BE6" s="52">
        <f t="shared" si="11"/>
        <v>800</v>
      </c>
      <c r="BF6" s="52">
        <f t="shared" si="11"/>
        <v>800</v>
      </c>
      <c r="BG6" s="52">
        <f t="shared" si="11"/>
        <v>800</v>
      </c>
      <c r="BH6" s="52">
        <f t="shared" si="11"/>
        <v>800</v>
      </c>
      <c r="BI6" s="73">
        <f t="shared" si="4"/>
        <v>800</v>
      </c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44"/>
    </row>
    <row r="7" spans="1:86">
      <c r="A7" s="47" t="s">
        <v>198</v>
      </c>
      <c r="B7" s="52">
        <v>500</v>
      </c>
      <c r="C7" s="52">
        <f t="shared" si="5"/>
        <v>500</v>
      </c>
      <c r="D7" s="52">
        <f t="shared" si="5"/>
        <v>500</v>
      </c>
      <c r="E7" s="52">
        <f t="shared" si="5"/>
        <v>500</v>
      </c>
      <c r="F7" s="52">
        <f t="shared" si="5"/>
        <v>500</v>
      </c>
      <c r="G7" s="52">
        <f t="shared" si="5"/>
        <v>500</v>
      </c>
      <c r="H7" s="52">
        <f t="shared" si="5"/>
        <v>500</v>
      </c>
      <c r="I7" s="52">
        <f t="shared" si="5"/>
        <v>500</v>
      </c>
      <c r="J7" s="52">
        <f t="shared" si="5"/>
        <v>500</v>
      </c>
      <c r="K7" s="52">
        <f t="shared" si="5"/>
        <v>500</v>
      </c>
      <c r="L7" s="52">
        <f t="shared" si="5"/>
        <v>500</v>
      </c>
      <c r="M7" s="52">
        <f t="shared" si="5"/>
        <v>500</v>
      </c>
      <c r="N7" s="63">
        <f t="shared" si="6"/>
        <v>500</v>
      </c>
      <c r="O7" s="52">
        <f t="shared" si="7"/>
        <v>500</v>
      </c>
      <c r="P7" s="52">
        <f t="shared" si="7"/>
        <v>500</v>
      </c>
      <c r="Q7" s="52">
        <f t="shared" si="7"/>
        <v>500</v>
      </c>
      <c r="R7" s="52">
        <f t="shared" si="7"/>
        <v>500</v>
      </c>
      <c r="S7" s="52">
        <f t="shared" si="7"/>
        <v>500</v>
      </c>
      <c r="T7" s="52">
        <f t="shared" si="7"/>
        <v>500</v>
      </c>
      <c r="U7" s="52">
        <f t="shared" si="7"/>
        <v>500</v>
      </c>
      <c r="V7" s="52">
        <f t="shared" si="7"/>
        <v>500</v>
      </c>
      <c r="W7" s="52">
        <f t="shared" si="7"/>
        <v>500</v>
      </c>
      <c r="X7" s="52">
        <f t="shared" si="7"/>
        <v>500</v>
      </c>
      <c r="Y7" s="52">
        <f t="shared" si="7"/>
        <v>500</v>
      </c>
      <c r="Z7" s="52">
        <f t="shared" ref="Z7:Z14" si="12">Y7</f>
        <v>500</v>
      </c>
      <c r="AA7" s="52">
        <f t="shared" si="8"/>
        <v>500</v>
      </c>
      <c r="AB7" s="52">
        <f t="shared" si="8"/>
        <v>500</v>
      </c>
      <c r="AC7" s="52">
        <f t="shared" si="8"/>
        <v>500</v>
      </c>
      <c r="AD7" s="52">
        <f t="shared" si="8"/>
        <v>500</v>
      </c>
      <c r="AE7" s="52">
        <f t="shared" si="8"/>
        <v>500</v>
      </c>
      <c r="AF7" s="52">
        <f t="shared" si="8"/>
        <v>500</v>
      </c>
      <c r="AG7" s="52">
        <f t="shared" si="8"/>
        <v>500</v>
      </c>
      <c r="AH7" s="52">
        <f t="shared" si="8"/>
        <v>500</v>
      </c>
      <c r="AI7" s="52">
        <f t="shared" si="8"/>
        <v>500</v>
      </c>
      <c r="AJ7" s="52">
        <f t="shared" si="8"/>
        <v>500</v>
      </c>
      <c r="AK7" s="52">
        <f t="shared" si="8"/>
        <v>500</v>
      </c>
      <c r="AL7" s="52">
        <f t="shared" si="9"/>
        <v>500</v>
      </c>
      <c r="AM7" s="52">
        <f t="shared" si="10"/>
        <v>500</v>
      </c>
      <c r="AN7" s="52">
        <f t="shared" si="10"/>
        <v>500</v>
      </c>
      <c r="AO7" s="52">
        <f t="shared" si="10"/>
        <v>500</v>
      </c>
      <c r="AP7" s="52">
        <f t="shared" si="10"/>
        <v>500</v>
      </c>
      <c r="AQ7" s="52">
        <f t="shared" si="10"/>
        <v>500</v>
      </c>
      <c r="AR7" s="52">
        <f t="shared" si="10"/>
        <v>500</v>
      </c>
      <c r="AS7" s="52">
        <f t="shared" si="10"/>
        <v>500</v>
      </c>
      <c r="AT7" s="52">
        <f t="shared" si="10"/>
        <v>500</v>
      </c>
      <c r="AU7" s="52">
        <f t="shared" si="10"/>
        <v>500</v>
      </c>
      <c r="AV7" s="52">
        <f t="shared" si="10"/>
        <v>500</v>
      </c>
      <c r="AW7" s="52">
        <f t="shared" si="10"/>
        <v>500</v>
      </c>
      <c r="AX7" s="52">
        <f t="shared" ref="AX7:AX14" si="13">AW7</f>
        <v>500</v>
      </c>
      <c r="AY7" s="52">
        <f t="shared" si="11"/>
        <v>500</v>
      </c>
      <c r="AZ7" s="52">
        <f t="shared" si="11"/>
        <v>500</v>
      </c>
      <c r="BA7" s="52">
        <f t="shared" si="11"/>
        <v>500</v>
      </c>
      <c r="BB7" s="52">
        <f t="shared" si="11"/>
        <v>500</v>
      </c>
      <c r="BC7" s="52">
        <f t="shared" si="11"/>
        <v>500</v>
      </c>
      <c r="BD7" s="52">
        <f t="shared" si="11"/>
        <v>500</v>
      </c>
      <c r="BE7" s="52">
        <f t="shared" si="11"/>
        <v>500</v>
      </c>
      <c r="BF7" s="52">
        <f t="shared" si="11"/>
        <v>500</v>
      </c>
      <c r="BG7" s="52">
        <f t="shared" si="11"/>
        <v>500</v>
      </c>
      <c r="BH7" s="52">
        <f t="shared" si="11"/>
        <v>500</v>
      </c>
      <c r="BI7" s="73">
        <f t="shared" si="4"/>
        <v>500</v>
      </c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44"/>
    </row>
    <row r="8" spans="1:86">
      <c r="A8" s="48" t="s">
        <v>199</v>
      </c>
      <c r="B8" s="52">
        <v>500</v>
      </c>
      <c r="C8" s="52">
        <f t="shared" si="5"/>
        <v>500</v>
      </c>
      <c r="D8" s="52">
        <f t="shared" si="5"/>
        <v>500</v>
      </c>
      <c r="E8" s="52">
        <f t="shared" si="5"/>
        <v>500</v>
      </c>
      <c r="F8" s="52">
        <f t="shared" si="5"/>
        <v>500</v>
      </c>
      <c r="G8" s="52">
        <f t="shared" si="5"/>
        <v>500</v>
      </c>
      <c r="H8" s="52">
        <f t="shared" si="5"/>
        <v>500</v>
      </c>
      <c r="I8" s="52">
        <f t="shared" si="5"/>
        <v>500</v>
      </c>
      <c r="J8" s="52">
        <f t="shared" si="5"/>
        <v>500</v>
      </c>
      <c r="K8" s="52">
        <f t="shared" si="5"/>
        <v>500</v>
      </c>
      <c r="L8" s="52">
        <f t="shared" si="5"/>
        <v>500</v>
      </c>
      <c r="M8" s="52">
        <f t="shared" si="5"/>
        <v>500</v>
      </c>
      <c r="N8" s="63">
        <f t="shared" si="6"/>
        <v>500</v>
      </c>
      <c r="O8" s="52">
        <f t="shared" si="7"/>
        <v>500</v>
      </c>
      <c r="P8" s="52">
        <f t="shared" si="7"/>
        <v>500</v>
      </c>
      <c r="Q8" s="52">
        <f t="shared" si="7"/>
        <v>500</v>
      </c>
      <c r="R8" s="52">
        <f t="shared" si="7"/>
        <v>500</v>
      </c>
      <c r="S8" s="52">
        <f t="shared" si="7"/>
        <v>500</v>
      </c>
      <c r="T8" s="52">
        <f t="shared" si="7"/>
        <v>500</v>
      </c>
      <c r="U8" s="52">
        <f t="shared" si="7"/>
        <v>500</v>
      </c>
      <c r="V8" s="52">
        <f t="shared" si="7"/>
        <v>500</v>
      </c>
      <c r="W8" s="52">
        <f t="shared" si="7"/>
        <v>500</v>
      </c>
      <c r="X8" s="52">
        <f t="shared" si="7"/>
        <v>500</v>
      </c>
      <c r="Y8" s="52">
        <f t="shared" si="7"/>
        <v>500</v>
      </c>
      <c r="Z8" s="52">
        <f t="shared" si="12"/>
        <v>500</v>
      </c>
      <c r="AA8" s="52">
        <f t="shared" si="8"/>
        <v>500</v>
      </c>
      <c r="AB8" s="52">
        <f t="shared" si="8"/>
        <v>500</v>
      </c>
      <c r="AC8" s="52">
        <f t="shared" si="8"/>
        <v>500</v>
      </c>
      <c r="AD8" s="52">
        <f t="shared" si="8"/>
        <v>500</v>
      </c>
      <c r="AE8" s="52">
        <f t="shared" si="8"/>
        <v>500</v>
      </c>
      <c r="AF8" s="52">
        <f t="shared" si="8"/>
        <v>500</v>
      </c>
      <c r="AG8" s="52">
        <f t="shared" si="8"/>
        <v>500</v>
      </c>
      <c r="AH8" s="52">
        <f t="shared" si="8"/>
        <v>500</v>
      </c>
      <c r="AI8" s="52">
        <f t="shared" si="8"/>
        <v>500</v>
      </c>
      <c r="AJ8" s="52">
        <f t="shared" si="8"/>
        <v>500</v>
      </c>
      <c r="AK8" s="52">
        <f t="shared" si="8"/>
        <v>500</v>
      </c>
      <c r="AL8" s="52">
        <f t="shared" si="9"/>
        <v>500</v>
      </c>
      <c r="AM8" s="52">
        <f t="shared" si="10"/>
        <v>500</v>
      </c>
      <c r="AN8" s="52">
        <f t="shared" si="10"/>
        <v>500</v>
      </c>
      <c r="AO8" s="52">
        <f t="shared" si="10"/>
        <v>500</v>
      </c>
      <c r="AP8" s="52">
        <f t="shared" si="10"/>
        <v>500</v>
      </c>
      <c r="AQ8" s="52">
        <f t="shared" si="10"/>
        <v>500</v>
      </c>
      <c r="AR8" s="52">
        <f t="shared" si="10"/>
        <v>500</v>
      </c>
      <c r="AS8" s="52">
        <f t="shared" si="10"/>
        <v>500</v>
      </c>
      <c r="AT8" s="52">
        <f t="shared" si="10"/>
        <v>500</v>
      </c>
      <c r="AU8" s="52">
        <f t="shared" si="10"/>
        <v>500</v>
      </c>
      <c r="AV8" s="52">
        <f t="shared" si="10"/>
        <v>500</v>
      </c>
      <c r="AW8" s="52">
        <f t="shared" si="10"/>
        <v>500</v>
      </c>
      <c r="AX8" s="52">
        <f t="shared" si="13"/>
        <v>500</v>
      </c>
      <c r="AY8" s="52">
        <f t="shared" si="11"/>
        <v>500</v>
      </c>
      <c r="AZ8" s="52">
        <f t="shared" si="11"/>
        <v>500</v>
      </c>
      <c r="BA8" s="52">
        <f t="shared" si="11"/>
        <v>500</v>
      </c>
      <c r="BB8" s="52">
        <f t="shared" si="11"/>
        <v>500</v>
      </c>
      <c r="BC8" s="52">
        <f t="shared" si="11"/>
        <v>500</v>
      </c>
      <c r="BD8" s="52">
        <f t="shared" si="11"/>
        <v>500</v>
      </c>
      <c r="BE8" s="52">
        <f t="shared" si="11"/>
        <v>500</v>
      </c>
      <c r="BF8" s="52">
        <f t="shared" si="11"/>
        <v>500</v>
      </c>
      <c r="BG8" s="52">
        <f t="shared" si="11"/>
        <v>500</v>
      </c>
      <c r="BH8" s="52">
        <f t="shared" si="11"/>
        <v>500</v>
      </c>
      <c r="BI8" s="73">
        <f t="shared" si="4"/>
        <v>500</v>
      </c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44"/>
    </row>
    <row r="9" spans="1:86">
      <c r="A9" s="48" t="s">
        <v>168</v>
      </c>
      <c r="B9" s="52">
        <v>3000</v>
      </c>
      <c r="C9" s="52">
        <v>3000</v>
      </c>
      <c r="D9" s="52">
        <f t="shared" si="5"/>
        <v>3000</v>
      </c>
      <c r="E9" s="52">
        <f t="shared" si="5"/>
        <v>3000</v>
      </c>
      <c r="F9" s="52">
        <v>0</v>
      </c>
      <c r="G9" s="52">
        <f t="shared" si="5"/>
        <v>0</v>
      </c>
      <c r="H9" s="52">
        <f t="shared" si="5"/>
        <v>0</v>
      </c>
      <c r="I9" s="52">
        <f t="shared" si="5"/>
        <v>0</v>
      </c>
      <c r="J9" s="52">
        <f t="shared" si="5"/>
        <v>0</v>
      </c>
      <c r="K9" s="52">
        <f t="shared" si="5"/>
        <v>0</v>
      </c>
      <c r="L9" s="52">
        <f t="shared" si="5"/>
        <v>0</v>
      </c>
      <c r="M9" s="52">
        <f t="shared" si="5"/>
        <v>0</v>
      </c>
      <c r="N9" s="63">
        <v>1500</v>
      </c>
      <c r="O9" s="52">
        <f t="shared" si="7"/>
        <v>1500</v>
      </c>
      <c r="P9" s="52">
        <f t="shared" si="7"/>
        <v>1500</v>
      </c>
      <c r="Q9" s="52">
        <f t="shared" si="7"/>
        <v>1500</v>
      </c>
      <c r="R9" s="52">
        <v>0</v>
      </c>
      <c r="S9" s="52">
        <f t="shared" si="7"/>
        <v>0</v>
      </c>
      <c r="T9" s="52">
        <f t="shared" si="7"/>
        <v>0</v>
      </c>
      <c r="U9" s="52">
        <f t="shared" si="7"/>
        <v>0</v>
      </c>
      <c r="V9" s="52">
        <f t="shared" si="7"/>
        <v>0</v>
      </c>
      <c r="W9" s="52">
        <f t="shared" si="7"/>
        <v>0</v>
      </c>
      <c r="X9" s="52">
        <f t="shared" si="7"/>
        <v>0</v>
      </c>
      <c r="Y9" s="52">
        <f t="shared" si="7"/>
        <v>0</v>
      </c>
      <c r="Z9" s="52">
        <v>1500</v>
      </c>
      <c r="AA9" s="52">
        <f t="shared" si="8"/>
        <v>1500</v>
      </c>
      <c r="AB9" s="52">
        <f t="shared" si="8"/>
        <v>1500</v>
      </c>
      <c r="AC9" s="52">
        <f t="shared" si="8"/>
        <v>1500</v>
      </c>
      <c r="AD9" s="52">
        <v>0</v>
      </c>
      <c r="AE9" s="52">
        <f t="shared" si="8"/>
        <v>0</v>
      </c>
      <c r="AF9" s="52">
        <f t="shared" si="8"/>
        <v>0</v>
      </c>
      <c r="AG9" s="52">
        <f t="shared" si="8"/>
        <v>0</v>
      </c>
      <c r="AH9" s="52">
        <f t="shared" si="8"/>
        <v>0</v>
      </c>
      <c r="AI9" s="52">
        <f t="shared" si="8"/>
        <v>0</v>
      </c>
      <c r="AJ9" s="52">
        <f t="shared" si="8"/>
        <v>0</v>
      </c>
      <c r="AK9" s="52">
        <f t="shared" si="8"/>
        <v>0</v>
      </c>
      <c r="AL9" s="52">
        <v>1500</v>
      </c>
      <c r="AM9" s="52">
        <f t="shared" si="10"/>
        <v>1500</v>
      </c>
      <c r="AN9" s="52">
        <f t="shared" si="10"/>
        <v>1500</v>
      </c>
      <c r="AO9" s="52">
        <f t="shared" si="10"/>
        <v>1500</v>
      </c>
      <c r="AP9" s="52">
        <v>0</v>
      </c>
      <c r="AQ9" s="52">
        <f t="shared" si="10"/>
        <v>0</v>
      </c>
      <c r="AR9" s="52">
        <f t="shared" si="10"/>
        <v>0</v>
      </c>
      <c r="AS9" s="52">
        <f t="shared" si="10"/>
        <v>0</v>
      </c>
      <c r="AT9" s="52">
        <f t="shared" si="10"/>
        <v>0</v>
      </c>
      <c r="AU9" s="52">
        <f t="shared" si="10"/>
        <v>0</v>
      </c>
      <c r="AV9" s="52">
        <f t="shared" si="10"/>
        <v>0</v>
      </c>
      <c r="AW9" s="52">
        <f t="shared" si="10"/>
        <v>0</v>
      </c>
      <c r="AX9" s="52">
        <v>1500</v>
      </c>
      <c r="AY9" s="52">
        <f t="shared" si="11"/>
        <v>1500</v>
      </c>
      <c r="AZ9" s="52">
        <f t="shared" si="11"/>
        <v>1500</v>
      </c>
      <c r="BA9" s="52">
        <f t="shared" si="11"/>
        <v>1500</v>
      </c>
      <c r="BB9" s="52">
        <v>0</v>
      </c>
      <c r="BC9" s="52">
        <f t="shared" si="11"/>
        <v>0</v>
      </c>
      <c r="BD9" s="52">
        <f t="shared" si="11"/>
        <v>0</v>
      </c>
      <c r="BE9" s="52">
        <f t="shared" si="11"/>
        <v>0</v>
      </c>
      <c r="BF9" s="52">
        <f t="shared" si="11"/>
        <v>0</v>
      </c>
      <c r="BG9" s="52">
        <f t="shared" si="11"/>
        <v>0</v>
      </c>
      <c r="BH9" s="52">
        <f t="shared" si="11"/>
        <v>0</v>
      </c>
      <c r="BI9" s="73">
        <f t="shared" si="4"/>
        <v>0</v>
      </c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44"/>
    </row>
    <row r="10" spans="1:86">
      <c r="A10" s="61" t="s">
        <v>28</v>
      </c>
      <c r="B10" s="62">
        <v>5000</v>
      </c>
      <c r="C10" s="52">
        <f t="shared" si="5"/>
        <v>5000</v>
      </c>
      <c r="D10" s="52">
        <f t="shared" si="5"/>
        <v>5000</v>
      </c>
      <c r="E10" s="52">
        <f t="shared" si="5"/>
        <v>5000</v>
      </c>
      <c r="F10" s="52">
        <f t="shared" si="5"/>
        <v>5000</v>
      </c>
      <c r="G10" s="52">
        <f t="shared" si="5"/>
        <v>5000</v>
      </c>
      <c r="H10" s="52">
        <f t="shared" si="5"/>
        <v>5000</v>
      </c>
      <c r="I10" s="52">
        <f t="shared" si="5"/>
        <v>5000</v>
      </c>
      <c r="J10" s="52">
        <f t="shared" si="5"/>
        <v>5000</v>
      </c>
      <c r="K10" s="52">
        <f t="shared" si="5"/>
        <v>5000</v>
      </c>
      <c r="L10" s="52">
        <f t="shared" si="5"/>
        <v>5000</v>
      </c>
      <c r="M10" s="52">
        <f t="shared" si="5"/>
        <v>5000</v>
      </c>
      <c r="N10" s="63">
        <v>6000</v>
      </c>
      <c r="O10" s="52">
        <f t="shared" si="7"/>
        <v>6000</v>
      </c>
      <c r="P10" s="52">
        <f t="shared" si="7"/>
        <v>6000</v>
      </c>
      <c r="Q10" s="52">
        <f t="shared" si="7"/>
        <v>6000</v>
      </c>
      <c r="R10" s="52">
        <f t="shared" si="7"/>
        <v>6000</v>
      </c>
      <c r="S10" s="52">
        <f t="shared" si="7"/>
        <v>6000</v>
      </c>
      <c r="T10" s="52">
        <f t="shared" si="7"/>
        <v>6000</v>
      </c>
      <c r="U10" s="52">
        <f t="shared" si="7"/>
        <v>6000</v>
      </c>
      <c r="V10" s="52">
        <f t="shared" si="7"/>
        <v>6000</v>
      </c>
      <c r="W10" s="52">
        <f t="shared" si="7"/>
        <v>6000</v>
      </c>
      <c r="X10" s="52">
        <f t="shared" si="7"/>
        <v>6000</v>
      </c>
      <c r="Y10" s="52">
        <f t="shared" si="7"/>
        <v>6000</v>
      </c>
      <c r="Z10" s="52">
        <v>8000</v>
      </c>
      <c r="AA10" s="52">
        <f t="shared" si="8"/>
        <v>8000</v>
      </c>
      <c r="AB10" s="52">
        <f t="shared" si="8"/>
        <v>8000</v>
      </c>
      <c r="AC10" s="52">
        <f t="shared" si="8"/>
        <v>8000</v>
      </c>
      <c r="AD10" s="52">
        <f t="shared" si="8"/>
        <v>8000</v>
      </c>
      <c r="AE10" s="52">
        <f t="shared" si="8"/>
        <v>8000</v>
      </c>
      <c r="AF10" s="52">
        <f t="shared" si="8"/>
        <v>8000</v>
      </c>
      <c r="AG10" s="52">
        <f t="shared" si="8"/>
        <v>8000</v>
      </c>
      <c r="AH10" s="52">
        <f t="shared" si="8"/>
        <v>8000</v>
      </c>
      <c r="AI10" s="52">
        <f t="shared" si="8"/>
        <v>8000</v>
      </c>
      <c r="AJ10" s="52">
        <f t="shared" si="8"/>
        <v>8000</v>
      </c>
      <c r="AK10" s="52">
        <f t="shared" si="8"/>
        <v>8000</v>
      </c>
      <c r="AL10" s="52">
        <f t="shared" si="9"/>
        <v>8000</v>
      </c>
      <c r="AM10" s="52">
        <f t="shared" si="10"/>
        <v>8000</v>
      </c>
      <c r="AN10" s="52">
        <f t="shared" si="10"/>
        <v>8000</v>
      </c>
      <c r="AO10" s="52">
        <f t="shared" si="10"/>
        <v>8000</v>
      </c>
      <c r="AP10" s="52">
        <f t="shared" si="10"/>
        <v>8000</v>
      </c>
      <c r="AQ10" s="52">
        <f t="shared" si="10"/>
        <v>8000</v>
      </c>
      <c r="AR10" s="52">
        <f t="shared" si="10"/>
        <v>8000</v>
      </c>
      <c r="AS10" s="52">
        <f t="shared" si="10"/>
        <v>8000</v>
      </c>
      <c r="AT10" s="52">
        <f t="shared" si="10"/>
        <v>8000</v>
      </c>
      <c r="AU10" s="52">
        <f t="shared" si="10"/>
        <v>8000</v>
      </c>
      <c r="AV10" s="52">
        <f t="shared" si="10"/>
        <v>8000</v>
      </c>
      <c r="AW10" s="52">
        <f t="shared" si="10"/>
        <v>8000</v>
      </c>
      <c r="AX10" s="52">
        <v>10000</v>
      </c>
      <c r="AY10" s="52">
        <f t="shared" si="11"/>
        <v>10000</v>
      </c>
      <c r="AZ10" s="52">
        <f t="shared" si="11"/>
        <v>10000</v>
      </c>
      <c r="BA10" s="52">
        <f t="shared" si="11"/>
        <v>10000</v>
      </c>
      <c r="BB10" s="52">
        <f t="shared" si="11"/>
        <v>10000</v>
      </c>
      <c r="BC10" s="52">
        <f t="shared" si="11"/>
        <v>10000</v>
      </c>
      <c r="BD10" s="52">
        <f t="shared" si="11"/>
        <v>10000</v>
      </c>
      <c r="BE10" s="52">
        <f t="shared" si="11"/>
        <v>10000</v>
      </c>
      <c r="BF10" s="52">
        <f t="shared" si="11"/>
        <v>10000</v>
      </c>
      <c r="BG10" s="52">
        <f t="shared" si="11"/>
        <v>10000</v>
      </c>
      <c r="BH10" s="52">
        <f t="shared" si="11"/>
        <v>10000</v>
      </c>
      <c r="BI10" s="73">
        <f t="shared" si="4"/>
        <v>10000</v>
      </c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44"/>
    </row>
    <row r="11" spans="1:86">
      <c r="A11" s="61" t="s">
        <v>23</v>
      </c>
      <c r="B11" s="62">
        <v>540</v>
      </c>
      <c r="C11" s="52">
        <f t="shared" si="5"/>
        <v>540</v>
      </c>
      <c r="D11" s="52">
        <f t="shared" si="5"/>
        <v>540</v>
      </c>
      <c r="E11" s="52">
        <f t="shared" si="5"/>
        <v>540</v>
      </c>
      <c r="F11" s="52">
        <f t="shared" si="5"/>
        <v>540</v>
      </c>
      <c r="G11" s="52">
        <f t="shared" si="5"/>
        <v>540</v>
      </c>
      <c r="H11" s="52">
        <f t="shared" si="5"/>
        <v>540</v>
      </c>
      <c r="I11" s="52">
        <f t="shared" si="5"/>
        <v>540</v>
      </c>
      <c r="J11" s="52">
        <f t="shared" si="5"/>
        <v>540</v>
      </c>
      <c r="K11" s="52">
        <f t="shared" si="5"/>
        <v>540</v>
      </c>
      <c r="L11" s="52">
        <f t="shared" si="5"/>
        <v>540</v>
      </c>
      <c r="M11" s="52">
        <f t="shared" si="5"/>
        <v>540</v>
      </c>
      <c r="N11" s="63">
        <f t="shared" si="6"/>
        <v>540</v>
      </c>
      <c r="O11" s="52">
        <f t="shared" si="7"/>
        <v>540</v>
      </c>
      <c r="P11" s="52">
        <f t="shared" si="7"/>
        <v>540</v>
      </c>
      <c r="Q11" s="52">
        <f t="shared" si="7"/>
        <v>540</v>
      </c>
      <c r="R11" s="52">
        <f t="shared" si="7"/>
        <v>540</v>
      </c>
      <c r="S11" s="52">
        <f t="shared" si="7"/>
        <v>540</v>
      </c>
      <c r="T11" s="52">
        <f t="shared" si="7"/>
        <v>540</v>
      </c>
      <c r="U11" s="52">
        <f t="shared" si="7"/>
        <v>540</v>
      </c>
      <c r="V11" s="52">
        <f t="shared" si="7"/>
        <v>540</v>
      </c>
      <c r="W11" s="52">
        <f t="shared" si="7"/>
        <v>540</v>
      </c>
      <c r="X11" s="52">
        <f t="shared" si="7"/>
        <v>540</v>
      </c>
      <c r="Y11" s="52">
        <f t="shared" si="7"/>
        <v>540</v>
      </c>
      <c r="Z11" s="52">
        <f t="shared" si="12"/>
        <v>540</v>
      </c>
      <c r="AA11" s="52">
        <f t="shared" si="8"/>
        <v>540</v>
      </c>
      <c r="AB11" s="52">
        <f t="shared" si="8"/>
        <v>540</v>
      </c>
      <c r="AC11" s="52">
        <f t="shared" si="8"/>
        <v>540</v>
      </c>
      <c r="AD11" s="52">
        <f t="shared" si="8"/>
        <v>540</v>
      </c>
      <c r="AE11" s="52">
        <f t="shared" si="8"/>
        <v>540</v>
      </c>
      <c r="AF11" s="52">
        <f t="shared" si="8"/>
        <v>540</v>
      </c>
      <c r="AG11" s="52">
        <f t="shared" si="8"/>
        <v>540</v>
      </c>
      <c r="AH11" s="52">
        <f t="shared" si="8"/>
        <v>540</v>
      </c>
      <c r="AI11" s="52">
        <f t="shared" si="8"/>
        <v>540</v>
      </c>
      <c r="AJ11" s="52">
        <f t="shared" si="8"/>
        <v>540</v>
      </c>
      <c r="AK11" s="52">
        <f t="shared" si="8"/>
        <v>540</v>
      </c>
      <c r="AL11" s="52">
        <f t="shared" si="9"/>
        <v>540</v>
      </c>
      <c r="AM11" s="52">
        <f t="shared" si="10"/>
        <v>540</v>
      </c>
      <c r="AN11" s="52">
        <f t="shared" si="10"/>
        <v>540</v>
      </c>
      <c r="AO11" s="52">
        <f t="shared" si="10"/>
        <v>540</v>
      </c>
      <c r="AP11" s="52">
        <f t="shared" si="10"/>
        <v>540</v>
      </c>
      <c r="AQ11" s="52">
        <f t="shared" si="10"/>
        <v>540</v>
      </c>
      <c r="AR11" s="52">
        <f t="shared" si="10"/>
        <v>540</v>
      </c>
      <c r="AS11" s="52">
        <f t="shared" si="10"/>
        <v>540</v>
      </c>
      <c r="AT11" s="52">
        <f t="shared" si="10"/>
        <v>540</v>
      </c>
      <c r="AU11" s="52">
        <f t="shared" si="10"/>
        <v>540</v>
      </c>
      <c r="AV11" s="52">
        <f t="shared" si="10"/>
        <v>540</v>
      </c>
      <c r="AW11" s="52">
        <f t="shared" si="10"/>
        <v>540</v>
      </c>
      <c r="AX11" s="52">
        <f t="shared" si="13"/>
        <v>540</v>
      </c>
      <c r="AY11" s="52">
        <f t="shared" si="11"/>
        <v>540</v>
      </c>
      <c r="AZ11" s="52">
        <f t="shared" si="11"/>
        <v>540</v>
      </c>
      <c r="BA11" s="52">
        <f t="shared" si="11"/>
        <v>540</v>
      </c>
      <c r="BB11" s="52">
        <f t="shared" si="11"/>
        <v>540</v>
      </c>
      <c r="BC11" s="52">
        <f t="shared" si="11"/>
        <v>540</v>
      </c>
      <c r="BD11" s="52">
        <f t="shared" si="11"/>
        <v>540</v>
      </c>
      <c r="BE11" s="52">
        <f t="shared" si="11"/>
        <v>540</v>
      </c>
      <c r="BF11" s="52">
        <f t="shared" si="11"/>
        <v>540</v>
      </c>
      <c r="BG11" s="52">
        <f t="shared" si="11"/>
        <v>540</v>
      </c>
      <c r="BH11" s="52">
        <f t="shared" si="11"/>
        <v>540</v>
      </c>
      <c r="BI11" s="73">
        <f t="shared" si="4"/>
        <v>540</v>
      </c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44"/>
    </row>
    <row r="12" spans="1:86">
      <c r="A12" s="61" t="s">
        <v>169</v>
      </c>
      <c r="B12" s="62">
        <v>300</v>
      </c>
      <c r="C12" s="52">
        <f t="shared" si="5"/>
        <v>300</v>
      </c>
      <c r="D12" s="52">
        <f t="shared" si="5"/>
        <v>300</v>
      </c>
      <c r="E12" s="52">
        <f t="shared" si="5"/>
        <v>300</v>
      </c>
      <c r="F12" s="52">
        <f t="shared" si="5"/>
        <v>300</v>
      </c>
      <c r="G12" s="52">
        <f t="shared" si="5"/>
        <v>300</v>
      </c>
      <c r="H12" s="52">
        <f t="shared" si="5"/>
        <v>300</v>
      </c>
      <c r="I12" s="52">
        <f t="shared" si="5"/>
        <v>300</v>
      </c>
      <c r="J12" s="52">
        <f t="shared" si="5"/>
        <v>300</v>
      </c>
      <c r="K12" s="52">
        <f t="shared" si="5"/>
        <v>300</v>
      </c>
      <c r="L12" s="52">
        <f t="shared" si="5"/>
        <v>300</v>
      </c>
      <c r="M12" s="52">
        <f t="shared" si="5"/>
        <v>300</v>
      </c>
      <c r="N12" s="63">
        <f t="shared" si="6"/>
        <v>300</v>
      </c>
      <c r="O12" s="52">
        <f t="shared" si="7"/>
        <v>300</v>
      </c>
      <c r="P12" s="52">
        <f t="shared" si="7"/>
        <v>300</v>
      </c>
      <c r="Q12" s="52">
        <f t="shared" si="7"/>
        <v>300</v>
      </c>
      <c r="R12" s="52">
        <f t="shared" si="7"/>
        <v>300</v>
      </c>
      <c r="S12" s="52">
        <f t="shared" si="7"/>
        <v>300</v>
      </c>
      <c r="T12" s="52">
        <f t="shared" si="7"/>
        <v>300</v>
      </c>
      <c r="U12" s="52">
        <f t="shared" si="7"/>
        <v>300</v>
      </c>
      <c r="V12" s="52">
        <f t="shared" si="7"/>
        <v>300</v>
      </c>
      <c r="W12" s="52">
        <f t="shared" si="7"/>
        <v>300</v>
      </c>
      <c r="X12" s="52">
        <f t="shared" si="7"/>
        <v>300</v>
      </c>
      <c r="Y12" s="52">
        <f t="shared" si="7"/>
        <v>300</v>
      </c>
      <c r="Z12" s="52">
        <v>400</v>
      </c>
      <c r="AA12" s="52">
        <f t="shared" si="8"/>
        <v>400</v>
      </c>
      <c r="AB12" s="52">
        <f t="shared" si="8"/>
        <v>400</v>
      </c>
      <c r="AC12" s="52">
        <f t="shared" si="8"/>
        <v>400</v>
      </c>
      <c r="AD12" s="52">
        <f t="shared" si="8"/>
        <v>400</v>
      </c>
      <c r="AE12" s="52">
        <f t="shared" si="8"/>
        <v>400</v>
      </c>
      <c r="AF12" s="52">
        <f t="shared" si="8"/>
        <v>400</v>
      </c>
      <c r="AG12" s="52">
        <f t="shared" si="8"/>
        <v>400</v>
      </c>
      <c r="AH12" s="52">
        <f t="shared" si="8"/>
        <v>400</v>
      </c>
      <c r="AI12" s="52">
        <f t="shared" si="8"/>
        <v>400</v>
      </c>
      <c r="AJ12" s="52">
        <f t="shared" si="8"/>
        <v>400</v>
      </c>
      <c r="AK12" s="52">
        <f t="shared" si="8"/>
        <v>400</v>
      </c>
      <c r="AL12" s="52">
        <f t="shared" si="9"/>
        <v>400</v>
      </c>
      <c r="AM12" s="52">
        <f t="shared" si="10"/>
        <v>400</v>
      </c>
      <c r="AN12" s="52">
        <f t="shared" si="10"/>
        <v>400</v>
      </c>
      <c r="AO12" s="52">
        <f t="shared" si="10"/>
        <v>400</v>
      </c>
      <c r="AP12" s="52">
        <f t="shared" si="10"/>
        <v>400</v>
      </c>
      <c r="AQ12" s="52">
        <f t="shared" si="10"/>
        <v>400</v>
      </c>
      <c r="AR12" s="52">
        <f t="shared" si="10"/>
        <v>400</v>
      </c>
      <c r="AS12" s="52">
        <f t="shared" si="10"/>
        <v>400</v>
      </c>
      <c r="AT12" s="52">
        <f t="shared" si="10"/>
        <v>400</v>
      </c>
      <c r="AU12" s="52">
        <f t="shared" si="10"/>
        <v>400</v>
      </c>
      <c r="AV12" s="52">
        <f t="shared" si="10"/>
        <v>400</v>
      </c>
      <c r="AW12" s="52">
        <f t="shared" si="10"/>
        <v>400</v>
      </c>
      <c r="AX12" s="52">
        <v>500</v>
      </c>
      <c r="AY12" s="52">
        <f t="shared" si="11"/>
        <v>500</v>
      </c>
      <c r="AZ12" s="52">
        <f t="shared" si="11"/>
        <v>500</v>
      </c>
      <c r="BA12" s="52">
        <f t="shared" si="11"/>
        <v>500</v>
      </c>
      <c r="BB12" s="52">
        <f t="shared" si="11"/>
        <v>500</v>
      </c>
      <c r="BC12" s="52">
        <f t="shared" si="11"/>
        <v>500</v>
      </c>
      <c r="BD12" s="52">
        <f t="shared" si="11"/>
        <v>500</v>
      </c>
      <c r="BE12" s="52">
        <f t="shared" si="11"/>
        <v>500</v>
      </c>
      <c r="BF12" s="52">
        <f t="shared" si="11"/>
        <v>500</v>
      </c>
      <c r="BG12" s="52">
        <f t="shared" si="11"/>
        <v>500</v>
      </c>
      <c r="BH12" s="52">
        <f t="shared" si="11"/>
        <v>500</v>
      </c>
      <c r="BI12" s="73">
        <f t="shared" si="4"/>
        <v>500</v>
      </c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44"/>
    </row>
    <row r="13" spans="1:86">
      <c r="A13" s="61" t="s">
        <v>84</v>
      </c>
      <c r="B13" s="62">
        <v>300</v>
      </c>
      <c r="C13" s="52">
        <f t="shared" si="5"/>
        <v>300</v>
      </c>
      <c r="D13" s="52">
        <f t="shared" si="5"/>
        <v>300</v>
      </c>
      <c r="E13" s="52">
        <f t="shared" si="5"/>
        <v>300</v>
      </c>
      <c r="F13" s="52">
        <f t="shared" si="5"/>
        <v>300</v>
      </c>
      <c r="G13" s="52">
        <f t="shared" si="5"/>
        <v>300</v>
      </c>
      <c r="H13" s="52">
        <f t="shared" si="5"/>
        <v>300</v>
      </c>
      <c r="I13" s="52">
        <f t="shared" si="5"/>
        <v>300</v>
      </c>
      <c r="J13" s="52">
        <f t="shared" si="5"/>
        <v>300</v>
      </c>
      <c r="K13" s="52">
        <f t="shared" si="5"/>
        <v>300</v>
      </c>
      <c r="L13" s="52">
        <f t="shared" si="5"/>
        <v>300</v>
      </c>
      <c r="M13" s="52">
        <f t="shared" si="5"/>
        <v>300</v>
      </c>
      <c r="N13" s="63">
        <f t="shared" si="6"/>
        <v>300</v>
      </c>
      <c r="O13" s="52">
        <f t="shared" si="7"/>
        <v>300</v>
      </c>
      <c r="P13" s="52">
        <f t="shared" si="7"/>
        <v>300</v>
      </c>
      <c r="Q13" s="52">
        <f t="shared" si="7"/>
        <v>300</v>
      </c>
      <c r="R13" s="52">
        <f t="shared" si="7"/>
        <v>300</v>
      </c>
      <c r="S13" s="52">
        <f t="shared" si="7"/>
        <v>300</v>
      </c>
      <c r="T13" s="52">
        <f t="shared" si="7"/>
        <v>300</v>
      </c>
      <c r="U13" s="52">
        <f t="shared" si="7"/>
        <v>300</v>
      </c>
      <c r="V13" s="52">
        <f t="shared" si="7"/>
        <v>300</v>
      </c>
      <c r="W13" s="52">
        <f t="shared" si="7"/>
        <v>300</v>
      </c>
      <c r="X13" s="52">
        <f t="shared" si="7"/>
        <v>300</v>
      </c>
      <c r="Y13" s="52">
        <f t="shared" si="7"/>
        <v>300</v>
      </c>
      <c r="Z13" s="52">
        <v>400</v>
      </c>
      <c r="AA13" s="52">
        <f t="shared" si="8"/>
        <v>400</v>
      </c>
      <c r="AB13" s="52">
        <f t="shared" si="8"/>
        <v>400</v>
      </c>
      <c r="AC13" s="52">
        <f t="shared" si="8"/>
        <v>400</v>
      </c>
      <c r="AD13" s="52">
        <f t="shared" si="8"/>
        <v>400</v>
      </c>
      <c r="AE13" s="52">
        <f t="shared" si="8"/>
        <v>400</v>
      </c>
      <c r="AF13" s="52">
        <f t="shared" si="8"/>
        <v>400</v>
      </c>
      <c r="AG13" s="52">
        <f t="shared" si="8"/>
        <v>400</v>
      </c>
      <c r="AH13" s="52">
        <f t="shared" si="8"/>
        <v>400</v>
      </c>
      <c r="AI13" s="52">
        <f t="shared" si="8"/>
        <v>400</v>
      </c>
      <c r="AJ13" s="52">
        <f t="shared" si="8"/>
        <v>400</v>
      </c>
      <c r="AK13" s="52">
        <f t="shared" si="8"/>
        <v>400</v>
      </c>
      <c r="AL13" s="52">
        <f t="shared" si="9"/>
        <v>400</v>
      </c>
      <c r="AM13" s="52">
        <f t="shared" si="10"/>
        <v>400</v>
      </c>
      <c r="AN13" s="52">
        <f t="shared" si="10"/>
        <v>400</v>
      </c>
      <c r="AO13" s="52">
        <f t="shared" si="10"/>
        <v>400</v>
      </c>
      <c r="AP13" s="52">
        <f t="shared" si="10"/>
        <v>400</v>
      </c>
      <c r="AQ13" s="52">
        <f t="shared" si="10"/>
        <v>400</v>
      </c>
      <c r="AR13" s="52">
        <f t="shared" si="10"/>
        <v>400</v>
      </c>
      <c r="AS13" s="52">
        <f t="shared" si="10"/>
        <v>400</v>
      </c>
      <c r="AT13" s="52">
        <f t="shared" si="10"/>
        <v>400</v>
      </c>
      <c r="AU13" s="52">
        <f t="shared" si="10"/>
        <v>400</v>
      </c>
      <c r="AV13" s="52">
        <f t="shared" si="10"/>
        <v>400</v>
      </c>
      <c r="AW13" s="52">
        <f t="shared" si="10"/>
        <v>400</v>
      </c>
      <c r="AX13" s="52">
        <v>500</v>
      </c>
      <c r="AY13" s="52">
        <f t="shared" si="11"/>
        <v>500</v>
      </c>
      <c r="AZ13" s="52">
        <f t="shared" si="11"/>
        <v>500</v>
      </c>
      <c r="BA13" s="52">
        <f t="shared" si="11"/>
        <v>500</v>
      </c>
      <c r="BB13" s="52">
        <f t="shared" si="11"/>
        <v>500</v>
      </c>
      <c r="BC13" s="52">
        <f t="shared" si="11"/>
        <v>500</v>
      </c>
      <c r="BD13" s="52">
        <f t="shared" si="11"/>
        <v>500</v>
      </c>
      <c r="BE13" s="52">
        <f t="shared" si="11"/>
        <v>500</v>
      </c>
      <c r="BF13" s="52">
        <f t="shared" si="11"/>
        <v>500</v>
      </c>
      <c r="BG13" s="52">
        <f t="shared" si="11"/>
        <v>500</v>
      </c>
      <c r="BH13" s="52">
        <f t="shared" si="11"/>
        <v>500</v>
      </c>
      <c r="BI13" s="73">
        <f t="shared" si="4"/>
        <v>500</v>
      </c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44"/>
    </row>
    <row r="14" spans="1:86">
      <c r="A14" s="61" t="s">
        <v>200</v>
      </c>
      <c r="B14" s="62">
        <v>200</v>
      </c>
      <c r="C14" s="52">
        <f t="shared" si="5"/>
        <v>200</v>
      </c>
      <c r="D14" s="52">
        <f t="shared" si="5"/>
        <v>200</v>
      </c>
      <c r="E14" s="52">
        <f t="shared" si="5"/>
        <v>200</v>
      </c>
      <c r="F14" s="52">
        <f t="shared" si="5"/>
        <v>200</v>
      </c>
      <c r="G14" s="52">
        <f t="shared" si="5"/>
        <v>200</v>
      </c>
      <c r="H14" s="52">
        <f t="shared" si="5"/>
        <v>200</v>
      </c>
      <c r="I14" s="52">
        <f t="shared" si="5"/>
        <v>200</v>
      </c>
      <c r="J14" s="52">
        <f t="shared" si="5"/>
        <v>200</v>
      </c>
      <c r="K14" s="52">
        <f t="shared" si="5"/>
        <v>200</v>
      </c>
      <c r="L14" s="52">
        <f t="shared" si="5"/>
        <v>200</v>
      </c>
      <c r="M14" s="52">
        <f t="shared" si="5"/>
        <v>200</v>
      </c>
      <c r="N14" s="63">
        <f t="shared" si="6"/>
        <v>200</v>
      </c>
      <c r="O14" s="52">
        <f t="shared" si="7"/>
        <v>200</v>
      </c>
      <c r="P14" s="52">
        <f t="shared" si="7"/>
        <v>200</v>
      </c>
      <c r="Q14" s="52">
        <f t="shared" si="7"/>
        <v>200</v>
      </c>
      <c r="R14" s="52">
        <f t="shared" si="7"/>
        <v>200</v>
      </c>
      <c r="S14" s="52">
        <f t="shared" si="7"/>
        <v>200</v>
      </c>
      <c r="T14" s="52">
        <f t="shared" si="7"/>
        <v>200</v>
      </c>
      <c r="U14" s="52">
        <f t="shared" si="7"/>
        <v>200</v>
      </c>
      <c r="V14" s="52">
        <f t="shared" si="7"/>
        <v>200</v>
      </c>
      <c r="W14" s="52">
        <f t="shared" si="7"/>
        <v>200</v>
      </c>
      <c r="X14" s="52">
        <f t="shared" si="7"/>
        <v>200</v>
      </c>
      <c r="Y14" s="52">
        <f t="shared" si="7"/>
        <v>200</v>
      </c>
      <c r="Z14" s="52">
        <f t="shared" si="12"/>
        <v>200</v>
      </c>
      <c r="AA14" s="52">
        <f t="shared" si="8"/>
        <v>200</v>
      </c>
      <c r="AB14" s="52">
        <f t="shared" si="8"/>
        <v>200</v>
      </c>
      <c r="AC14" s="52">
        <f t="shared" si="8"/>
        <v>200</v>
      </c>
      <c r="AD14" s="52">
        <f t="shared" si="8"/>
        <v>200</v>
      </c>
      <c r="AE14" s="52">
        <f t="shared" si="8"/>
        <v>200</v>
      </c>
      <c r="AF14" s="52">
        <f t="shared" si="8"/>
        <v>200</v>
      </c>
      <c r="AG14" s="52">
        <f t="shared" si="8"/>
        <v>200</v>
      </c>
      <c r="AH14" s="52">
        <f t="shared" si="8"/>
        <v>200</v>
      </c>
      <c r="AI14" s="52">
        <f t="shared" si="8"/>
        <v>200</v>
      </c>
      <c r="AJ14" s="52">
        <f t="shared" si="8"/>
        <v>200</v>
      </c>
      <c r="AK14" s="52">
        <f t="shared" si="8"/>
        <v>200</v>
      </c>
      <c r="AL14" s="52">
        <f t="shared" si="9"/>
        <v>200</v>
      </c>
      <c r="AM14" s="52">
        <f t="shared" si="10"/>
        <v>200</v>
      </c>
      <c r="AN14" s="52">
        <f t="shared" si="10"/>
        <v>200</v>
      </c>
      <c r="AO14" s="52">
        <f t="shared" si="10"/>
        <v>200</v>
      </c>
      <c r="AP14" s="52">
        <f t="shared" si="10"/>
        <v>200</v>
      </c>
      <c r="AQ14" s="52">
        <f t="shared" si="10"/>
        <v>200</v>
      </c>
      <c r="AR14" s="52">
        <f t="shared" si="10"/>
        <v>200</v>
      </c>
      <c r="AS14" s="52">
        <f t="shared" si="10"/>
        <v>200</v>
      </c>
      <c r="AT14" s="52">
        <f t="shared" si="10"/>
        <v>200</v>
      </c>
      <c r="AU14" s="52">
        <f t="shared" si="10"/>
        <v>200</v>
      </c>
      <c r="AV14" s="52">
        <f t="shared" si="10"/>
        <v>200</v>
      </c>
      <c r="AW14" s="52">
        <f t="shared" si="10"/>
        <v>200</v>
      </c>
      <c r="AX14" s="52">
        <f t="shared" si="13"/>
        <v>200</v>
      </c>
      <c r="AY14" s="52">
        <f t="shared" si="11"/>
        <v>200</v>
      </c>
      <c r="AZ14" s="52">
        <f t="shared" si="11"/>
        <v>200</v>
      </c>
      <c r="BA14" s="52">
        <f t="shared" si="11"/>
        <v>200</v>
      </c>
      <c r="BB14" s="52">
        <f t="shared" si="11"/>
        <v>200</v>
      </c>
      <c r="BC14" s="52">
        <f t="shared" si="11"/>
        <v>200</v>
      </c>
      <c r="BD14" s="52">
        <f t="shared" si="11"/>
        <v>200</v>
      </c>
      <c r="BE14" s="52">
        <f t="shared" si="11"/>
        <v>200</v>
      </c>
      <c r="BF14" s="52">
        <f t="shared" si="11"/>
        <v>200</v>
      </c>
      <c r="BG14" s="52">
        <f t="shared" si="11"/>
        <v>200</v>
      </c>
      <c r="BH14" s="52">
        <f t="shared" si="11"/>
        <v>200</v>
      </c>
      <c r="BI14" s="73">
        <f t="shared" si="4"/>
        <v>200</v>
      </c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44"/>
    </row>
    <row r="15" spans="1:86">
      <c r="A15" s="61" t="s">
        <v>170</v>
      </c>
      <c r="B15" s="62">
        <v>1000</v>
      </c>
      <c r="C15" s="62">
        <v>1000</v>
      </c>
      <c r="D15" s="62">
        <f>B15</f>
        <v>1000</v>
      </c>
      <c r="E15" s="62">
        <f t="shared" ref="E15:BI16" si="14">C15</f>
        <v>1000</v>
      </c>
      <c r="F15" s="62">
        <f t="shared" si="14"/>
        <v>1000</v>
      </c>
      <c r="G15" s="62">
        <f t="shared" si="14"/>
        <v>1000</v>
      </c>
      <c r="H15" s="62">
        <f t="shared" si="14"/>
        <v>1000</v>
      </c>
      <c r="I15" s="62">
        <f t="shared" si="14"/>
        <v>1000</v>
      </c>
      <c r="J15" s="62">
        <f t="shared" si="14"/>
        <v>1000</v>
      </c>
      <c r="K15" s="62">
        <f t="shared" si="14"/>
        <v>1000</v>
      </c>
      <c r="L15" s="62">
        <f t="shared" si="14"/>
        <v>1000</v>
      </c>
      <c r="M15" s="62">
        <f t="shared" si="14"/>
        <v>1000</v>
      </c>
      <c r="N15" s="62">
        <f t="shared" si="14"/>
        <v>1000</v>
      </c>
      <c r="O15" s="62">
        <f t="shared" si="14"/>
        <v>1000</v>
      </c>
      <c r="P15" s="62">
        <f t="shared" si="14"/>
        <v>1000</v>
      </c>
      <c r="Q15" s="62">
        <f t="shared" si="14"/>
        <v>1000</v>
      </c>
      <c r="R15" s="62">
        <f t="shared" si="14"/>
        <v>1000</v>
      </c>
      <c r="S15" s="62">
        <f t="shared" si="14"/>
        <v>1000</v>
      </c>
      <c r="T15" s="62">
        <f t="shared" si="14"/>
        <v>1000</v>
      </c>
      <c r="U15" s="62">
        <f t="shared" si="14"/>
        <v>1000</v>
      </c>
      <c r="V15" s="62">
        <f t="shared" si="14"/>
        <v>1000</v>
      </c>
      <c r="W15" s="62">
        <f t="shared" si="14"/>
        <v>1000</v>
      </c>
      <c r="X15" s="62">
        <f t="shared" si="14"/>
        <v>1000</v>
      </c>
      <c r="Y15" s="62">
        <f t="shared" si="14"/>
        <v>1000</v>
      </c>
      <c r="Z15" s="62">
        <v>1200</v>
      </c>
      <c r="AA15" s="62">
        <v>1200</v>
      </c>
      <c r="AB15" s="62">
        <f t="shared" si="14"/>
        <v>1200</v>
      </c>
      <c r="AC15" s="62">
        <f t="shared" si="14"/>
        <v>1200</v>
      </c>
      <c r="AD15" s="62">
        <f t="shared" si="14"/>
        <v>1200</v>
      </c>
      <c r="AE15" s="62">
        <f t="shared" si="14"/>
        <v>1200</v>
      </c>
      <c r="AF15" s="62">
        <f t="shared" si="14"/>
        <v>1200</v>
      </c>
      <c r="AG15" s="62">
        <f t="shared" si="14"/>
        <v>1200</v>
      </c>
      <c r="AH15" s="62">
        <f t="shared" si="14"/>
        <v>1200</v>
      </c>
      <c r="AI15" s="62">
        <f t="shared" si="14"/>
        <v>1200</v>
      </c>
      <c r="AJ15" s="62">
        <f t="shared" si="14"/>
        <v>1200</v>
      </c>
      <c r="AK15" s="62">
        <f t="shared" si="14"/>
        <v>1200</v>
      </c>
      <c r="AL15" s="62">
        <v>1500</v>
      </c>
      <c r="AM15" s="62">
        <v>1500</v>
      </c>
      <c r="AN15" s="62">
        <f t="shared" si="14"/>
        <v>1500</v>
      </c>
      <c r="AO15" s="62">
        <f t="shared" si="14"/>
        <v>1500</v>
      </c>
      <c r="AP15" s="62">
        <f t="shared" si="14"/>
        <v>1500</v>
      </c>
      <c r="AQ15" s="62">
        <f t="shared" si="14"/>
        <v>1500</v>
      </c>
      <c r="AR15" s="62">
        <f t="shared" si="14"/>
        <v>1500</v>
      </c>
      <c r="AS15" s="62">
        <f t="shared" si="14"/>
        <v>1500</v>
      </c>
      <c r="AT15" s="62">
        <f t="shared" si="14"/>
        <v>1500</v>
      </c>
      <c r="AU15" s="62">
        <f t="shared" si="14"/>
        <v>1500</v>
      </c>
      <c r="AV15" s="62">
        <f t="shared" si="14"/>
        <v>1500</v>
      </c>
      <c r="AW15" s="62">
        <f t="shared" si="14"/>
        <v>1500</v>
      </c>
      <c r="AX15" s="62">
        <v>1800</v>
      </c>
      <c r="AY15" s="62">
        <v>1800</v>
      </c>
      <c r="AZ15" s="62">
        <f t="shared" si="14"/>
        <v>1800</v>
      </c>
      <c r="BA15" s="62">
        <f t="shared" si="14"/>
        <v>1800</v>
      </c>
      <c r="BB15" s="62">
        <f t="shared" si="14"/>
        <v>1800</v>
      </c>
      <c r="BC15" s="62">
        <f t="shared" si="14"/>
        <v>1800</v>
      </c>
      <c r="BD15" s="62">
        <f t="shared" si="14"/>
        <v>1800</v>
      </c>
      <c r="BE15" s="62">
        <f t="shared" si="14"/>
        <v>1800</v>
      </c>
      <c r="BF15" s="62">
        <f t="shared" si="14"/>
        <v>1800</v>
      </c>
      <c r="BG15" s="62">
        <f t="shared" si="14"/>
        <v>1800</v>
      </c>
      <c r="BH15" s="62">
        <f t="shared" si="14"/>
        <v>1800</v>
      </c>
      <c r="BI15" s="62">
        <f t="shared" si="14"/>
        <v>1800</v>
      </c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44"/>
    </row>
    <row r="16" spans="1:86" ht="15.75" thickBot="1">
      <c r="A16" s="184" t="s">
        <v>190</v>
      </c>
      <c r="B16" s="139">
        <v>500</v>
      </c>
      <c r="C16" s="139">
        <v>500</v>
      </c>
      <c r="D16" s="139">
        <f>B16</f>
        <v>500</v>
      </c>
      <c r="E16" s="139">
        <f t="shared" si="14"/>
        <v>500</v>
      </c>
      <c r="F16" s="139">
        <f t="shared" si="14"/>
        <v>500</v>
      </c>
      <c r="G16" s="139">
        <f t="shared" si="14"/>
        <v>500</v>
      </c>
      <c r="H16" s="139">
        <f t="shared" si="14"/>
        <v>500</v>
      </c>
      <c r="I16" s="139">
        <f t="shared" si="14"/>
        <v>500</v>
      </c>
      <c r="J16" s="139">
        <f t="shared" si="14"/>
        <v>500</v>
      </c>
      <c r="K16" s="139">
        <f t="shared" si="14"/>
        <v>500</v>
      </c>
      <c r="L16" s="139">
        <f t="shared" si="14"/>
        <v>500</v>
      </c>
      <c r="M16" s="139">
        <f t="shared" si="14"/>
        <v>500</v>
      </c>
      <c r="N16" s="139">
        <f t="shared" si="14"/>
        <v>500</v>
      </c>
      <c r="O16" s="139">
        <f t="shared" si="14"/>
        <v>500</v>
      </c>
      <c r="P16" s="139">
        <f t="shared" si="14"/>
        <v>500</v>
      </c>
      <c r="Q16" s="139">
        <f t="shared" si="14"/>
        <v>500</v>
      </c>
      <c r="R16" s="139">
        <f t="shared" si="14"/>
        <v>500</v>
      </c>
      <c r="S16" s="139">
        <f t="shared" si="14"/>
        <v>500</v>
      </c>
      <c r="T16" s="139">
        <f t="shared" si="14"/>
        <v>500</v>
      </c>
      <c r="U16" s="139">
        <f t="shared" si="14"/>
        <v>500</v>
      </c>
      <c r="V16" s="139">
        <f t="shared" si="14"/>
        <v>500</v>
      </c>
      <c r="W16" s="139">
        <f t="shared" si="14"/>
        <v>500</v>
      </c>
      <c r="X16" s="139">
        <f t="shared" si="14"/>
        <v>500</v>
      </c>
      <c r="Y16" s="139">
        <f t="shared" si="14"/>
        <v>500</v>
      </c>
      <c r="Z16" s="139">
        <v>500</v>
      </c>
      <c r="AA16" s="139">
        <v>500</v>
      </c>
      <c r="AB16" s="139">
        <f t="shared" si="14"/>
        <v>500</v>
      </c>
      <c r="AC16" s="139">
        <f t="shared" si="14"/>
        <v>500</v>
      </c>
      <c r="AD16" s="139">
        <f t="shared" si="14"/>
        <v>500</v>
      </c>
      <c r="AE16" s="139">
        <f t="shared" si="14"/>
        <v>500</v>
      </c>
      <c r="AF16" s="139">
        <f t="shared" si="14"/>
        <v>500</v>
      </c>
      <c r="AG16" s="139">
        <f t="shared" si="14"/>
        <v>500</v>
      </c>
      <c r="AH16" s="139">
        <f t="shared" si="14"/>
        <v>500</v>
      </c>
      <c r="AI16" s="139">
        <f t="shared" si="14"/>
        <v>500</v>
      </c>
      <c r="AJ16" s="139">
        <f t="shared" si="14"/>
        <v>500</v>
      </c>
      <c r="AK16" s="139">
        <f t="shared" si="14"/>
        <v>500</v>
      </c>
      <c r="AL16" s="139">
        <v>500</v>
      </c>
      <c r="AM16" s="139">
        <v>500</v>
      </c>
      <c r="AN16" s="139">
        <f t="shared" si="14"/>
        <v>500</v>
      </c>
      <c r="AO16" s="139">
        <f t="shared" si="14"/>
        <v>500</v>
      </c>
      <c r="AP16" s="139">
        <f t="shared" si="14"/>
        <v>500</v>
      </c>
      <c r="AQ16" s="139">
        <f t="shared" si="14"/>
        <v>500</v>
      </c>
      <c r="AR16" s="139">
        <f t="shared" si="14"/>
        <v>500</v>
      </c>
      <c r="AS16" s="139">
        <f t="shared" si="14"/>
        <v>500</v>
      </c>
      <c r="AT16" s="139">
        <f t="shared" si="14"/>
        <v>500</v>
      </c>
      <c r="AU16" s="139">
        <f t="shared" si="14"/>
        <v>500</v>
      </c>
      <c r="AV16" s="139">
        <f t="shared" si="14"/>
        <v>500</v>
      </c>
      <c r="AW16" s="139">
        <f t="shared" si="14"/>
        <v>500</v>
      </c>
      <c r="AX16" s="139">
        <v>500</v>
      </c>
      <c r="AY16" s="139">
        <v>500</v>
      </c>
      <c r="AZ16" s="139">
        <f t="shared" si="14"/>
        <v>500</v>
      </c>
      <c r="BA16" s="139">
        <f t="shared" si="14"/>
        <v>500</v>
      </c>
      <c r="BB16" s="139">
        <f t="shared" si="14"/>
        <v>500</v>
      </c>
      <c r="BC16" s="139">
        <f t="shared" si="14"/>
        <v>500</v>
      </c>
      <c r="BD16" s="139">
        <f t="shared" si="14"/>
        <v>500</v>
      </c>
      <c r="BE16" s="139">
        <f t="shared" si="14"/>
        <v>500</v>
      </c>
      <c r="BF16" s="139">
        <f t="shared" si="14"/>
        <v>500</v>
      </c>
      <c r="BG16" s="139">
        <f t="shared" si="14"/>
        <v>500</v>
      </c>
      <c r="BH16" s="139">
        <f t="shared" si="14"/>
        <v>500</v>
      </c>
      <c r="BI16" s="139">
        <f t="shared" si="14"/>
        <v>500</v>
      </c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44"/>
    </row>
    <row r="17" spans="1:86" ht="15.75" thickBot="1">
      <c r="A17" s="55" t="s">
        <v>25</v>
      </c>
      <c r="B17" s="54">
        <f>SUM(B5:B16)</f>
        <v>13340</v>
      </c>
      <c r="C17" s="54">
        <f t="shared" ref="C17:BI17" si="15">SUM(C5:C16)</f>
        <v>13340</v>
      </c>
      <c r="D17" s="54">
        <f t="shared" si="15"/>
        <v>13340</v>
      </c>
      <c r="E17" s="54">
        <f t="shared" si="15"/>
        <v>13340</v>
      </c>
      <c r="F17" s="54">
        <f t="shared" si="15"/>
        <v>10340</v>
      </c>
      <c r="G17" s="54">
        <f t="shared" si="15"/>
        <v>10340</v>
      </c>
      <c r="H17" s="54">
        <f t="shared" si="15"/>
        <v>10340</v>
      </c>
      <c r="I17" s="54">
        <f t="shared" si="15"/>
        <v>10340</v>
      </c>
      <c r="J17" s="54">
        <f t="shared" si="15"/>
        <v>10340</v>
      </c>
      <c r="K17" s="54">
        <f t="shared" si="15"/>
        <v>10340</v>
      </c>
      <c r="L17" s="54">
        <f t="shared" si="15"/>
        <v>10340</v>
      </c>
      <c r="M17" s="54">
        <f t="shared" si="15"/>
        <v>10340</v>
      </c>
      <c r="N17" s="54">
        <f t="shared" si="15"/>
        <v>12840</v>
      </c>
      <c r="O17" s="54">
        <f t="shared" si="15"/>
        <v>12840</v>
      </c>
      <c r="P17" s="54">
        <f t="shared" si="15"/>
        <v>12840</v>
      </c>
      <c r="Q17" s="54">
        <f t="shared" si="15"/>
        <v>12840</v>
      </c>
      <c r="R17" s="54">
        <f t="shared" si="15"/>
        <v>11340</v>
      </c>
      <c r="S17" s="54">
        <f t="shared" si="15"/>
        <v>11340</v>
      </c>
      <c r="T17" s="54">
        <f t="shared" si="15"/>
        <v>11340</v>
      </c>
      <c r="U17" s="54">
        <f t="shared" si="15"/>
        <v>11340</v>
      </c>
      <c r="V17" s="54">
        <f t="shared" si="15"/>
        <v>11340</v>
      </c>
      <c r="W17" s="54">
        <f t="shared" si="15"/>
        <v>11340</v>
      </c>
      <c r="X17" s="54">
        <f t="shared" si="15"/>
        <v>11340</v>
      </c>
      <c r="Y17" s="54">
        <f t="shared" si="15"/>
        <v>11340</v>
      </c>
      <c r="Z17" s="54">
        <f t="shared" si="15"/>
        <v>15340</v>
      </c>
      <c r="AA17" s="54">
        <f t="shared" si="15"/>
        <v>15340</v>
      </c>
      <c r="AB17" s="54">
        <f t="shared" si="15"/>
        <v>15340</v>
      </c>
      <c r="AC17" s="54">
        <f t="shared" si="15"/>
        <v>15340</v>
      </c>
      <c r="AD17" s="54">
        <f t="shared" si="15"/>
        <v>13840</v>
      </c>
      <c r="AE17" s="54">
        <f t="shared" si="15"/>
        <v>13840</v>
      </c>
      <c r="AF17" s="54">
        <f t="shared" si="15"/>
        <v>13840</v>
      </c>
      <c r="AG17" s="54">
        <f t="shared" si="15"/>
        <v>13840</v>
      </c>
      <c r="AH17" s="54">
        <f t="shared" si="15"/>
        <v>13840</v>
      </c>
      <c r="AI17" s="54">
        <f t="shared" si="15"/>
        <v>13840</v>
      </c>
      <c r="AJ17" s="54">
        <f t="shared" si="15"/>
        <v>13840</v>
      </c>
      <c r="AK17" s="54">
        <f t="shared" si="15"/>
        <v>13840</v>
      </c>
      <c r="AL17" s="54">
        <f t="shared" si="15"/>
        <v>15640</v>
      </c>
      <c r="AM17" s="54">
        <f t="shared" si="15"/>
        <v>15640</v>
      </c>
      <c r="AN17" s="54">
        <f t="shared" si="15"/>
        <v>15640</v>
      </c>
      <c r="AO17" s="54">
        <f t="shared" si="15"/>
        <v>15640</v>
      </c>
      <c r="AP17" s="54">
        <f t="shared" si="15"/>
        <v>14140</v>
      </c>
      <c r="AQ17" s="54">
        <f t="shared" si="15"/>
        <v>14140</v>
      </c>
      <c r="AR17" s="54">
        <f t="shared" si="15"/>
        <v>14140</v>
      </c>
      <c r="AS17" s="54">
        <f t="shared" si="15"/>
        <v>14140</v>
      </c>
      <c r="AT17" s="54">
        <f t="shared" si="15"/>
        <v>14140</v>
      </c>
      <c r="AU17" s="54">
        <f t="shared" si="15"/>
        <v>14140</v>
      </c>
      <c r="AV17" s="54">
        <f t="shared" si="15"/>
        <v>14140</v>
      </c>
      <c r="AW17" s="54">
        <f t="shared" si="15"/>
        <v>14140</v>
      </c>
      <c r="AX17" s="54">
        <f t="shared" si="15"/>
        <v>18340</v>
      </c>
      <c r="AY17" s="54">
        <f t="shared" si="15"/>
        <v>18340</v>
      </c>
      <c r="AZ17" s="54">
        <f t="shared" si="15"/>
        <v>18340</v>
      </c>
      <c r="BA17" s="54">
        <f t="shared" si="15"/>
        <v>18340</v>
      </c>
      <c r="BB17" s="54">
        <f t="shared" si="15"/>
        <v>16840</v>
      </c>
      <c r="BC17" s="54">
        <f t="shared" si="15"/>
        <v>16840</v>
      </c>
      <c r="BD17" s="54">
        <f t="shared" si="15"/>
        <v>16840</v>
      </c>
      <c r="BE17" s="54">
        <f t="shared" si="15"/>
        <v>16840</v>
      </c>
      <c r="BF17" s="54">
        <f t="shared" si="15"/>
        <v>16840</v>
      </c>
      <c r="BG17" s="54">
        <f t="shared" si="15"/>
        <v>16840</v>
      </c>
      <c r="BH17" s="54">
        <f t="shared" si="15"/>
        <v>16840</v>
      </c>
      <c r="BI17" s="54">
        <f t="shared" si="15"/>
        <v>16840</v>
      </c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44"/>
    </row>
    <row r="18" spans="1:86" ht="15.75" thickTop="1"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</row>
    <row r="20" spans="1:86" ht="15.75">
      <c r="A20" s="195" t="s">
        <v>71</v>
      </c>
      <c r="B20" s="196" t="s">
        <v>105</v>
      </c>
      <c r="C20" s="197" t="s">
        <v>106</v>
      </c>
      <c r="D20" s="196" t="s">
        <v>107</v>
      </c>
      <c r="E20" s="196" t="s">
        <v>108</v>
      </c>
      <c r="F20" s="197" t="s">
        <v>109</v>
      </c>
    </row>
    <row r="21" spans="1:86">
      <c r="A21" s="11" t="s">
        <v>197</v>
      </c>
      <c r="B21" s="83">
        <f>SUM(B5:M5)</f>
        <v>12000</v>
      </c>
      <c r="C21" s="194">
        <f>SUM(N5:Y5)</f>
        <v>12000</v>
      </c>
      <c r="D21" s="83">
        <f>SUM(Z5:AK5)</f>
        <v>12000</v>
      </c>
      <c r="E21" s="83">
        <f>SUM(AL5:AW5)</f>
        <v>12000</v>
      </c>
      <c r="F21" s="83">
        <f>SUM(AX5:BI5)</f>
        <v>12000</v>
      </c>
    </row>
    <row r="22" spans="1:86">
      <c r="A22" s="11" t="s">
        <v>89</v>
      </c>
      <c r="B22" s="83">
        <f t="shared" ref="B22:B32" si="16">SUM(B6:M6)</f>
        <v>6000</v>
      </c>
      <c r="C22" s="194">
        <f t="shared" ref="C22:C32" si="17">SUM(N6:Y6)</f>
        <v>6000</v>
      </c>
      <c r="D22" s="83">
        <f t="shared" ref="D22:D32" si="18">SUM(Z6:AK6)</f>
        <v>7200</v>
      </c>
      <c r="E22" s="83">
        <f t="shared" ref="E22:E32" si="19">SUM(AL6:AW6)</f>
        <v>7200</v>
      </c>
      <c r="F22" s="83">
        <f t="shared" ref="F22:F32" si="20">SUM(AX6:BI6)</f>
        <v>9600</v>
      </c>
    </row>
    <row r="23" spans="1:86">
      <c r="A23" s="192" t="s">
        <v>198</v>
      </c>
      <c r="B23" s="83">
        <f t="shared" si="16"/>
        <v>6000</v>
      </c>
      <c r="C23" s="194">
        <f t="shared" si="17"/>
        <v>6000</v>
      </c>
      <c r="D23" s="83">
        <f t="shared" si="18"/>
        <v>6000</v>
      </c>
      <c r="E23" s="83">
        <f t="shared" si="19"/>
        <v>6000</v>
      </c>
      <c r="F23" s="83">
        <f t="shared" si="20"/>
        <v>6000</v>
      </c>
    </row>
    <row r="24" spans="1:86">
      <c r="A24" s="11" t="s">
        <v>199</v>
      </c>
      <c r="B24" s="83">
        <f t="shared" si="16"/>
        <v>6000</v>
      </c>
      <c r="C24" s="194">
        <f t="shared" si="17"/>
        <v>6000</v>
      </c>
      <c r="D24" s="83">
        <f t="shared" si="18"/>
        <v>6000</v>
      </c>
      <c r="E24" s="83">
        <f t="shared" si="19"/>
        <v>6000</v>
      </c>
      <c r="F24" s="83">
        <f t="shared" si="20"/>
        <v>6000</v>
      </c>
    </row>
    <row r="25" spans="1:86">
      <c r="A25" s="11" t="s">
        <v>168</v>
      </c>
      <c r="B25" s="83">
        <f t="shared" si="16"/>
        <v>12000</v>
      </c>
      <c r="C25" s="194">
        <f t="shared" si="17"/>
        <v>6000</v>
      </c>
      <c r="D25" s="83">
        <f t="shared" si="18"/>
        <v>6000</v>
      </c>
      <c r="E25" s="83">
        <f t="shared" si="19"/>
        <v>6000</v>
      </c>
      <c r="F25" s="83">
        <f t="shared" si="20"/>
        <v>6000</v>
      </c>
    </row>
    <row r="26" spans="1:86">
      <c r="A26" s="11" t="s">
        <v>28</v>
      </c>
      <c r="B26" s="83">
        <f t="shared" si="16"/>
        <v>60000</v>
      </c>
      <c r="C26" s="194">
        <f t="shared" si="17"/>
        <v>72000</v>
      </c>
      <c r="D26" s="83">
        <f t="shared" si="18"/>
        <v>96000</v>
      </c>
      <c r="E26" s="83">
        <f t="shared" si="19"/>
        <v>96000</v>
      </c>
      <c r="F26" s="83">
        <f t="shared" si="20"/>
        <v>120000</v>
      </c>
    </row>
    <row r="27" spans="1:86">
      <c r="A27" s="11" t="s">
        <v>23</v>
      </c>
      <c r="B27" s="83">
        <f t="shared" si="16"/>
        <v>6480</v>
      </c>
      <c r="C27" s="194">
        <f t="shared" si="17"/>
        <v>6480</v>
      </c>
      <c r="D27" s="83">
        <f t="shared" si="18"/>
        <v>6480</v>
      </c>
      <c r="E27" s="83">
        <f t="shared" si="19"/>
        <v>6480</v>
      </c>
      <c r="F27" s="83">
        <f t="shared" si="20"/>
        <v>6480</v>
      </c>
    </row>
    <row r="28" spans="1:86">
      <c r="A28" s="11" t="s">
        <v>169</v>
      </c>
      <c r="B28" s="83">
        <f t="shared" si="16"/>
        <v>3600</v>
      </c>
      <c r="C28" s="194">
        <f t="shared" si="17"/>
        <v>3600</v>
      </c>
      <c r="D28" s="83">
        <f t="shared" si="18"/>
        <v>4800</v>
      </c>
      <c r="E28" s="83">
        <f t="shared" si="19"/>
        <v>4800</v>
      </c>
      <c r="F28" s="83">
        <f t="shared" si="20"/>
        <v>6000</v>
      </c>
    </row>
    <row r="29" spans="1:86">
      <c r="A29" s="11" t="s">
        <v>84</v>
      </c>
      <c r="B29" s="83">
        <f t="shared" si="16"/>
        <v>3600</v>
      </c>
      <c r="C29" s="194">
        <f t="shared" si="17"/>
        <v>3600</v>
      </c>
      <c r="D29" s="83">
        <f t="shared" si="18"/>
        <v>4800</v>
      </c>
      <c r="E29" s="83">
        <f t="shared" si="19"/>
        <v>4800</v>
      </c>
      <c r="F29" s="83">
        <f t="shared" si="20"/>
        <v>6000</v>
      </c>
    </row>
    <row r="30" spans="1:86">
      <c r="A30" s="11" t="s">
        <v>200</v>
      </c>
      <c r="B30" s="83">
        <f t="shared" si="16"/>
        <v>2400</v>
      </c>
      <c r="C30" s="194">
        <f t="shared" si="17"/>
        <v>2400</v>
      </c>
      <c r="D30" s="83">
        <f t="shared" si="18"/>
        <v>2400</v>
      </c>
      <c r="E30" s="83">
        <f t="shared" si="19"/>
        <v>2400</v>
      </c>
      <c r="F30" s="83">
        <f t="shared" si="20"/>
        <v>2400</v>
      </c>
    </row>
    <row r="31" spans="1:86">
      <c r="A31" s="11" t="s">
        <v>170</v>
      </c>
      <c r="B31" s="83">
        <f t="shared" si="16"/>
        <v>12000</v>
      </c>
      <c r="C31" s="194">
        <f t="shared" si="17"/>
        <v>12000</v>
      </c>
      <c r="D31" s="83">
        <f t="shared" si="18"/>
        <v>14400</v>
      </c>
      <c r="E31" s="83">
        <f t="shared" si="19"/>
        <v>18000</v>
      </c>
      <c r="F31" s="83">
        <f t="shared" si="20"/>
        <v>21600</v>
      </c>
    </row>
    <row r="32" spans="1:86">
      <c r="A32" s="11" t="s">
        <v>190</v>
      </c>
      <c r="B32" s="83">
        <f t="shared" si="16"/>
        <v>6000</v>
      </c>
      <c r="C32" s="194">
        <f t="shared" si="17"/>
        <v>6000</v>
      </c>
      <c r="D32" s="83">
        <f t="shared" si="18"/>
        <v>6000</v>
      </c>
      <c r="E32" s="83">
        <f t="shared" si="19"/>
        <v>6000</v>
      </c>
      <c r="F32" s="83">
        <f t="shared" si="20"/>
        <v>6000</v>
      </c>
    </row>
    <row r="33" spans="1:6">
      <c r="A33" s="193" t="s">
        <v>25</v>
      </c>
      <c r="B33" s="201">
        <f>SUM(B21:B32)</f>
        <v>136080</v>
      </c>
      <c r="C33" s="201">
        <f t="shared" ref="C33:F33" si="21">SUM(C21:C32)</f>
        <v>142080</v>
      </c>
      <c r="D33" s="201">
        <f t="shared" si="21"/>
        <v>172080</v>
      </c>
      <c r="E33" s="201">
        <f t="shared" si="21"/>
        <v>175680</v>
      </c>
      <c r="F33" s="201">
        <f t="shared" si="21"/>
        <v>208080</v>
      </c>
    </row>
  </sheetData>
  <pageMargins left="0.7" right="0.7" top="0.75" bottom="0.75" header="0.3" footer="0.3"/>
  <pageSetup paperSize="0" orientation="portrait" horizontalDpi="4294967292" verticalDpi="4294967292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L20"/>
  <sheetViews>
    <sheetView zoomScale="80" zoomScaleNormal="80" zoomScalePageLayoutView="75" workbookViewId="0">
      <selection activeCell="G19" sqref="G19"/>
    </sheetView>
  </sheetViews>
  <sheetFormatPr defaultColWidth="8.85546875" defaultRowHeight="15"/>
  <cols>
    <col min="1" max="1" width="59.42578125" customWidth="1"/>
    <col min="2" max="4" width="12.28515625" bestFit="1" customWidth="1"/>
    <col min="5" max="5" width="12.7109375" bestFit="1" customWidth="1"/>
    <col min="6" max="6" width="12.28515625" bestFit="1" customWidth="1"/>
    <col min="7" max="7" width="11.7109375" bestFit="1" customWidth="1"/>
    <col min="8" max="8" width="12.7109375" bestFit="1" customWidth="1"/>
    <col min="9" max="13" width="11.7109375" bestFit="1" customWidth="1"/>
    <col min="14" max="14" width="12.7109375" bestFit="1" customWidth="1"/>
    <col min="15" max="16" width="11.7109375" bestFit="1" customWidth="1"/>
    <col min="17" max="17" width="12.7109375" bestFit="1" customWidth="1"/>
    <col min="18" max="19" width="11.7109375" bestFit="1" customWidth="1"/>
    <col min="20" max="24" width="13.42578125" bestFit="1" customWidth="1"/>
    <col min="25" max="48" width="13.28515625" bestFit="1" customWidth="1"/>
    <col min="49" max="49" width="16" customWidth="1"/>
    <col min="50" max="50" width="14.28515625" customWidth="1"/>
    <col min="51" max="61" width="13.28515625" bestFit="1" customWidth="1"/>
    <col min="62" max="62" width="12.7109375" bestFit="1" customWidth="1"/>
    <col min="68" max="68" width="12.7109375" bestFit="1" customWidth="1"/>
    <col min="74" max="74" width="12.7109375" bestFit="1" customWidth="1"/>
    <col min="84" max="84" width="12.7109375" bestFit="1" customWidth="1"/>
    <col min="85" max="85" width="12" customWidth="1"/>
  </cols>
  <sheetData>
    <row r="1" spans="1:90" ht="18">
      <c r="A1" s="99" t="s">
        <v>26</v>
      </c>
    </row>
    <row r="2" spans="1:90">
      <c r="A2" s="6" t="str">
        <f>CONCATENATE(Company, ": ",start, " -  ",end)</f>
        <v>Tourbr.com: Mês 1 -  Mês 60</v>
      </c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</row>
    <row r="3" spans="1:90" ht="15.75" thickBot="1"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</row>
    <row r="4" spans="1:90" ht="16.5" thickTop="1">
      <c r="A4" s="69" t="s">
        <v>172</v>
      </c>
      <c r="B4" s="70">
        <v>1</v>
      </c>
      <c r="C4" s="71">
        <v>2</v>
      </c>
      <c r="D4" s="70">
        <v>3</v>
      </c>
      <c r="E4" s="70">
        <v>4</v>
      </c>
      <c r="F4" s="71">
        <v>5</v>
      </c>
      <c r="G4" s="70">
        <v>6</v>
      </c>
      <c r="H4" s="70">
        <v>7</v>
      </c>
      <c r="I4" s="71">
        <v>8</v>
      </c>
      <c r="J4" s="70">
        <v>9</v>
      </c>
      <c r="K4" s="70">
        <v>10</v>
      </c>
      <c r="L4" s="71">
        <v>11</v>
      </c>
      <c r="M4" s="70">
        <v>12</v>
      </c>
      <c r="N4" s="70">
        <v>13</v>
      </c>
      <c r="O4" s="71">
        <v>14</v>
      </c>
      <c r="P4" s="70">
        <v>15</v>
      </c>
      <c r="Q4" s="70">
        <v>16</v>
      </c>
      <c r="R4" s="71">
        <v>17</v>
      </c>
      <c r="S4" s="70">
        <v>18</v>
      </c>
      <c r="T4" s="70">
        <v>19</v>
      </c>
      <c r="U4" s="71">
        <v>20</v>
      </c>
      <c r="V4" s="70">
        <v>21</v>
      </c>
      <c r="W4" s="70">
        <v>22</v>
      </c>
      <c r="X4" s="71">
        <v>23</v>
      </c>
      <c r="Y4" s="70">
        <v>24</v>
      </c>
      <c r="Z4" s="70">
        <v>25</v>
      </c>
      <c r="AA4" s="71">
        <v>26</v>
      </c>
      <c r="AB4" s="70">
        <v>27</v>
      </c>
      <c r="AC4" s="70">
        <v>28</v>
      </c>
      <c r="AD4" s="71">
        <v>29</v>
      </c>
      <c r="AE4" s="70">
        <v>30</v>
      </c>
      <c r="AF4" s="70">
        <v>31</v>
      </c>
      <c r="AG4" s="71">
        <v>32</v>
      </c>
      <c r="AH4" s="70">
        <v>33</v>
      </c>
      <c r="AI4" s="70">
        <v>34</v>
      </c>
      <c r="AJ4" s="71">
        <v>35</v>
      </c>
      <c r="AK4" s="70">
        <v>36</v>
      </c>
      <c r="AL4" s="70">
        <v>37</v>
      </c>
      <c r="AM4" s="71">
        <v>38</v>
      </c>
      <c r="AN4" s="70">
        <v>39</v>
      </c>
      <c r="AO4" s="70">
        <v>40</v>
      </c>
      <c r="AP4" s="71">
        <v>41</v>
      </c>
      <c r="AQ4" s="70">
        <v>42</v>
      </c>
      <c r="AR4" s="70">
        <v>43</v>
      </c>
      <c r="AS4" s="71">
        <v>44</v>
      </c>
      <c r="AT4" s="70">
        <v>45</v>
      </c>
      <c r="AU4" s="70">
        <v>46</v>
      </c>
      <c r="AV4" s="71">
        <v>47</v>
      </c>
      <c r="AW4" s="70">
        <v>48</v>
      </c>
      <c r="AX4" s="70">
        <v>49</v>
      </c>
      <c r="AY4" s="71">
        <v>50</v>
      </c>
      <c r="AZ4" s="70">
        <v>51</v>
      </c>
      <c r="BA4" s="70">
        <v>52</v>
      </c>
      <c r="BB4" s="71">
        <v>53</v>
      </c>
      <c r="BC4" s="70">
        <v>54</v>
      </c>
      <c r="BD4" s="70">
        <v>55</v>
      </c>
      <c r="BE4" s="71">
        <v>56</v>
      </c>
      <c r="BF4" s="70">
        <v>57</v>
      </c>
      <c r="BG4" s="70">
        <v>58</v>
      </c>
      <c r="BH4" s="71">
        <v>59</v>
      </c>
      <c r="BI4" s="108">
        <v>60</v>
      </c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44"/>
    </row>
    <row r="5" spans="1:90" s="45" customFormat="1">
      <c r="A5" s="72" t="s">
        <v>183</v>
      </c>
      <c r="B5" s="52">
        <v>30000</v>
      </c>
      <c r="C5" s="52">
        <v>30000</v>
      </c>
      <c r="D5" s="52">
        <v>30000</v>
      </c>
      <c r="E5" s="52">
        <v>30000</v>
      </c>
      <c r="F5" s="52">
        <v>30000</v>
      </c>
      <c r="G5" s="52">
        <v>30000</v>
      </c>
      <c r="H5" s="52">
        <v>2000</v>
      </c>
      <c r="I5" s="52">
        <v>2000</v>
      </c>
      <c r="J5" s="52">
        <v>2000</v>
      </c>
      <c r="K5" s="52">
        <v>2000</v>
      </c>
      <c r="L5" s="52">
        <v>2000</v>
      </c>
      <c r="M5" s="52">
        <v>2000</v>
      </c>
      <c r="N5" s="52">
        <v>2000</v>
      </c>
      <c r="O5" s="52">
        <v>2000</v>
      </c>
      <c r="P5" s="52">
        <v>2000</v>
      </c>
      <c r="Q5" s="52">
        <v>2000</v>
      </c>
      <c r="R5" s="52">
        <v>2000</v>
      </c>
      <c r="S5" s="52">
        <v>2000</v>
      </c>
      <c r="T5" s="52">
        <v>2000</v>
      </c>
      <c r="U5" s="52">
        <v>2000</v>
      </c>
      <c r="V5" s="52">
        <v>2000</v>
      </c>
      <c r="W5" s="52">
        <v>2000</v>
      </c>
      <c r="X5" s="52">
        <v>2000</v>
      </c>
      <c r="Y5" s="52">
        <v>2000</v>
      </c>
      <c r="Z5" s="52">
        <v>2000</v>
      </c>
      <c r="AA5" s="52">
        <v>2000</v>
      </c>
      <c r="AB5" s="52">
        <v>2000</v>
      </c>
      <c r="AC5" s="52">
        <v>2000</v>
      </c>
      <c r="AD5" s="52">
        <v>2000</v>
      </c>
      <c r="AE5" s="52">
        <v>2000</v>
      </c>
      <c r="AF5" s="52">
        <v>2000</v>
      </c>
      <c r="AG5" s="52">
        <v>2000</v>
      </c>
      <c r="AH5" s="52">
        <v>2000</v>
      </c>
      <c r="AI5" s="52">
        <v>2000</v>
      </c>
      <c r="AJ5" s="52">
        <v>2000</v>
      </c>
      <c r="AK5" s="52">
        <v>2000</v>
      </c>
      <c r="AL5" s="52">
        <v>2000</v>
      </c>
      <c r="AM5" s="52">
        <v>2000</v>
      </c>
      <c r="AN5" s="52">
        <v>2000</v>
      </c>
      <c r="AO5" s="52">
        <v>2000</v>
      </c>
      <c r="AP5" s="52">
        <v>2000</v>
      </c>
      <c r="AQ5" s="52">
        <v>2000</v>
      </c>
      <c r="AR5" s="52">
        <v>2000</v>
      </c>
      <c r="AS5" s="52">
        <v>2000</v>
      </c>
      <c r="AT5" s="52">
        <v>2000</v>
      </c>
      <c r="AU5" s="52">
        <v>2000</v>
      </c>
      <c r="AV5" s="52">
        <v>2000</v>
      </c>
      <c r="AW5" s="52">
        <v>2000</v>
      </c>
      <c r="AX5" s="52">
        <v>2000</v>
      </c>
      <c r="AY5" s="52">
        <v>2000</v>
      </c>
      <c r="AZ5" s="52">
        <v>2000</v>
      </c>
      <c r="BA5" s="52">
        <v>2000</v>
      </c>
      <c r="BB5" s="52">
        <v>2000</v>
      </c>
      <c r="BC5" s="52">
        <v>2000</v>
      </c>
      <c r="BD5" s="52">
        <v>2000</v>
      </c>
      <c r="BE5" s="52">
        <v>2000</v>
      </c>
      <c r="BF5" s="52">
        <v>2000</v>
      </c>
      <c r="BG5" s="52">
        <v>2000</v>
      </c>
      <c r="BH5" s="52">
        <v>2000</v>
      </c>
      <c r="BI5" s="52">
        <v>2000</v>
      </c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44"/>
      <c r="CL5" s="109"/>
    </row>
    <row r="6" spans="1:90" s="45" customFormat="1">
      <c r="A6" s="72" t="s">
        <v>29</v>
      </c>
      <c r="B6" s="52">
        <f>Premissas!B53/12</f>
        <v>25000</v>
      </c>
      <c r="C6" s="52">
        <f>B6</f>
        <v>25000</v>
      </c>
      <c r="D6" s="52">
        <f t="shared" ref="D6:AK6" si="0">C6</f>
        <v>25000</v>
      </c>
      <c r="E6" s="52">
        <f t="shared" si="0"/>
        <v>25000</v>
      </c>
      <c r="F6" s="52">
        <f t="shared" si="0"/>
        <v>25000</v>
      </c>
      <c r="G6" s="52">
        <f t="shared" si="0"/>
        <v>25000</v>
      </c>
      <c r="H6" s="52">
        <f t="shared" si="0"/>
        <v>25000</v>
      </c>
      <c r="I6" s="52">
        <f t="shared" si="0"/>
        <v>25000</v>
      </c>
      <c r="J6" s="52">
        <f t="shared" si="0"/>
        <v>25000</v>
      </c>
      <c r="K6" s="52">
        <f t="shared" si="0"/>
        <v>25000</v>
      </c>
      <c r="L6" s="52">
        <f t="shared" si="0"/>
        <v>25000</v>
      </c>
      <c r="M6" s="52">
        <f t="shared" si="0"/>
        <v>25000</v>
      </c>
      <c r="N6" s="52">
        <f t="shared" si="0"/>
        <v>25000</v>
      </c>
      <c r="O6" s="52">
        <f t="shared" si="0"/>
        <v>25000</v>
      </c>
      <c r="P6" s="52">
        <f t="shared" si="0"/>
        <v>25000</v>
      </c>
      <c r="Q6" s="52">
        <f t="shared" si="0"/>
        <v>25000</v>
      </c>
      <c r="R6" s="52">
        <f t="shared" si="0"/>
        <v>25000</v>
      </c>
      <c r="S6" s="52">
        <f t="shared" si="0"/>
        <v>25000</v>
      </c>
      <c r="T6" s="52">
        <f t="shared" si="0"/>
        <v>25000</v>
      </c>
      <c r="U6" s="52">
        <f t="shared" si="0"/>
        <v>25000</v>
      </c>
      <c r="V6" s="52">
        <f t="shared" si="0"/>
        <v>25000</v>
      </c>
      <c r="W6" s="52">
        <f t="shared" si="0"/>
        <v>25000</v>
      </c>
      <c r="X6" s="52">
        <f t="shared" si="0"/>
        <v>25000</v>
      </c>
      <c r="Y6" s="52">
        <f t="shared" si="0"/>
        <v>25000</v>
      </c>
      <c r="Z6" s="52">
        <f t="shared" si="0"/>
        <v>25000</v>
      </c>
      <c r="AA6" s="52">
        <f t="shared" si="0"/>
        <v>25000</v>
      </c>
      <c r="AB6" s="52">
        <f t="shared" si="0"/>
        <v>25000</v>
      </c>
      <c r="AC6" s="52">
        <f t="shared" si="0"/>
        <v>25000</v>
      </c>
      <c r="AD6" s="52">
        <f t="shared" si="0"/>
        <v>25000</v>
      </c>
      <c r="AE6" s="52">
        <f t="shared" si="0"/>
        <v>25000</v>
      </c>
      <c r="AF6" s="52">
        <f t="shared" si="0"/>
        <v>25000</v>
      </c>
      <c r="AG6" s="52">
        <f t="shared" si="0"/>
        <v>25000</v>
      </c>
      <c r="AH6" s="52">
        <f t="shared" si="0"/>
        <v>25000</v>
      </c>
      <c r="AI6" s="52">
        <f t="shared" si="0"/>
        <v>25000</v>
      </c>
      <c r="AJ6" s="52">
        <f t="shared" si="0"/>
        <v>25000</v>
      </c>
      <c r="AK6" s="52">
        <f t="shared" si="0"/>
        <v>25000</v>
      </c>
      <c r="AL6" s="52">
        <f>Premissas!E53/12</f>
        <v>37500</v>
      </c>
      <c r="AM6" s="52">
        <f>AL6</f>
        <v>37500</v>
      </c>
      <c r="AN6" s="52">
        <f t="shared" ref="AN6:AW6" si="1">AM6</f>
        <v>37500</v>
      </c>
      <c r="AO6" s="52">
        <f t="shared" si="1"/>
        <v>37500</v>
      </c>
      <c r="AP6" s="52">
        <f t="shared" si="1"/>
        <v>37500</v>
      </c>
      <c r="AQ6" s="52">
        <f t="shared" si="1"/>
        <v>37500</v>
      </c>
      <c r="AR6" s="52">
        <f t="shared" si="1"/>
        <v>37500</v>
      </c>
      <c r="AS6" s="52">
        <f t="shared" si="1"/>
        <v>37500</v>
      </c>
      <c r="AT6" s="52">
        <f t="shared" si="1"/>
        <v>37500</v>
      </c>
      <c r="AU6" s="52">
        <f t="shared" si="1"/>
        <v>37500</v>
      </c>
      <c r="AV6" s="52">
        <f t="shared" si="1"/>
        <v>37500</v>
      </c>
      <c r="AW6" s="52">
        <f t="shared" si="1"/>
        <v>37500</v>
      </c>
      <c r="AX6" s="52">
        <f>Premissas!F53/12</f>
        <v>25000</v>
      </c>
      <c r="AY6" s="52">
        <f>AX6</f>
        <v>25000</v>
      </c>
      <c r="AZ6" s="52">
        <f t="shared" ref="AZ6:BI6" si="2">AY6</f>
        <v>25000</v>
      </c>
      <c r="BA6" s="52">
        <f t="shared" si="2"/>
        <v>25000</v>
      </c>
      <c r="BB6" s="52">
        <f t="shared" si="2"/>
        <v>25000</v>
      </c>
      <c r="BC6" s="52">
        <f t="shared" si="2"/>
        <v>25000</v>
      </c>
      <c r="BD6" s="52">
        <f t="shared" si="2"/>
        <v>25000</v>
      </c>
      <c r="BE6" s="52">
        <f t="shared" si="2"/>
        <v>25000</v>
      </c>
      <c r="BF6" s="52">
        <f t="shared" si="2"/>
        <v>25000</v>
      </c>
      <c r="BG6" s="52">
        <f t="shared" si="2"/>
        <v>25000</v>
      </c>
      <c r="BH6" s="52">
        <f t="shared" si="2"/>
        <v>25000</v>
      </c>
      <c r="BI6" s="73">
        <f t="shared" si="2"/>
        <v>25000</v>
      </c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44"/>
      <c r="CL6" s="109"/>
    </row>
    <row r="7" spans="1:90" s="45" customFormat="1">
      <c r="A7" s="72" t="s">
        <v>182</v>
      </c>
      <c r="B7" s="52">
        <v>6000</v>
      </c>
      <c r="C7" s="52">
        <f>B7</f>
        <v>6000</v>
      </c>
      <c r="D7" s="52">
        <f t="shared" ref="D7:BI7" si="3">C7</f>
        <v>6000</v>
      </c>
      <c r="E7" s="52">
        <f t="shared" si="3"/>
        <v>6000</v>
      </c>
      <c r="F7" s="52">
        <f t="shared" si="3"/>
        <v>6000</v>
      </c>
      <c r="G7" s="52">
        <f t="shared" si="3"/>
        <v>6000</v>
      </c>
      <c r="H7" s="52">
        <f t="shared" si="3"/>
        <v>6000</v>
      </c>
      <c r="I7" s="52">
        <f t="shared" si="3"/>
        <v>6000</v>
      </c>
      <c r="J7" s="52">
        <f t="shared" si="3"/>
        <v>6000</v>
      </c>
      <c r="K7" s="52">
        <f t="shared" si="3"/>
        <v>6000</v>
      </c>
      <c r="L7" s="52">
        <f t="shared" si="3"/>
        <v>6000</v>
      </c>
      <c r="M7" s="52">
        <f t="shared" si="3"/>
        <v>6000</v>
      </c>
      <c r="N7" s="52">
        <f t="shared" si="3"/>
        <v>6000</v>
      </c>
      <c r="O7" s="52">
        <f t="shared" si="3"/>
        <v>6000</v>
      </c>
      <c r="P7" s="52">
        <f t="shared" si="3"/>
        <v>6000</v>
      </c>
      <c r="Q7" s="52">
        <f t="shared" si="3"/>
        <v>6000</v>
      </c>
      <c r="R7" s="52">
        <f t="shared" si="3"/>
        <v>6000</v>
      </c>
      <c r="S7" s="52">
        <f t="shared" si="3"/>
        <v>6000</v>
      </c>
      <c r="T7" s="52">
        <f t="shared" si="3"/>
        <v>6000</v>
      </c>
      <c r="U7" s="52">
        <f t="shared" si="3"/>
        <v>6000</v>
      </c>
      <c r="V7" s="52">
        <f t="shared" si="3"/>
        <v>6000</v>
      </c>
      <c r="W7" s="52">
        <f t="shared" si="3"/>
        <v>6000</v>
      </c>
      <c r="X7" s="52">
        <f t="shared" si="3"/>
        <v>6000</v>
      </c>
      <c r="Y7" s="52">
        <f t="shared" si="3"/>
        <v>6000</v>
      </c>
      <c r="Z7" s="52">
        <f t="shared" si="3"/>
        <v>6000</v>
      </c>
      <c r="AA7" s="52">
        <f t="shared" si="3"/>
        <v>6000</v>
      </c>
      <c r="AB7" s="52">
        <f t="shared" si="3"/>
        <v>6000</v>
      </c>
      <c r="AC7" s="52">
        <f t="shared" si="3"/>
        <v>6000</v>
      </c>
      <c r="AD7" s="52">
        <f t="shared" si="3"/>
        <v>6000</v>
      </c>
      <c r="AE7" s="52">
        <f t="shared" si="3"/>
        <v>6000</v>
      </c>
      <c r="AF7" s="52">
        <f t="shared" si="3"/>
        <v>6000</v>
      </c>
      <c r="AG7" s="52">
        <f t="shared" si="3"/>
        <v>6000</v>
      </c>
      <c r="AH7" s="52">
        <f t="shared" si="3"/>
        <v>6000</v>
      </c>
      <c r="AI7" s="52">
        <f t="shared" si="3"/>
        <v>6000</v>
      </c>
      <c r="AJ7" s="52">
        <f t="shared" si="3"/>
        <v>6000</v>
      </c>
      <c r="AK7" s="52">
        <f t="shared" si="3"/>
        <v>6000</v>
      </c>
      <c r="AL7" s="52">
        <f t="shared" si="3"/>
        <v>6000</v>
      </c>
      <c r="AM7" s="52">
        <f t="shared" si="3"/>
        <v>6000</v>
      </c>
      <c r="AN7" s="52">
        <f t="shared" si="3"/>
        <v>6000</v>
      </c>
      <c r="AO7" s="52">
        <f t="shared" si="3"/>
        <v>6000</v>
      </c>
      <c r="AP7" s="52">
        <f t="shared" si="3"/>
        <v>6000</v>
      </c>
      <c r="AQ7" s="52">
        <f t="shared" si="3"/>
        <v>6000</v>
      </c>
      <c r="AR7" s="52">
        <f t="shared" si="3"/>
        <v>6000</v>
      </c>
      <c r="AS7" s="52">
        <f t="shared" si="3"/>
        <v>6000</v>
      </c>
      <c r="AT7" s="52">
        <f t="shared" si="3"/>
        <v>6000</v>
      </c>
      <c r="AU7" s="52">
        <f t="shared" si="3"/>
        <v>6000</v>
      </c>
      <c r="AV7" s="52">
        <f t="shared" si="3"/>
        <v>6000</v>
      </c>
      <c r="AW7" s="52">
        <f t="shared" si="3"/>
        <v>6000</v>
      </c>
      <c r="AX7" s="52">
        <f t="shared" si="3"/>
        <v>6000</v>
      </c>
      <c r="AY7" s="52">
        <f t="shared" si="3"/>
        <v>6000</v>
      </c>
      <c r="AZ7" s="52">
        <f t="shared" si="3"/>
        <v>6000</v>
      </c>
      <c r="BA7" s="52">
        <f t="shared" si="3"/>
        <v>6000</v>
      </c>
      <c r="BB7" s="52">
        <f t="shared" si="3"/>
        <v>6000</v>
      </c>
      <c r="BC7" s="52">
        <f t="shared" si="3"/>
        <v>6000</v>
      </c>
      <c r="BD7" s="52">
        <f t="shared" si="3"/>
        <v>6000</v>
      </c>
      <c r="BE7" s="52">
        <f t="shared" si="3"/>
        <v>6000</v>
      </c>
      <c r="BF7" s="52">
        <f t="shared" si="3"/>
        <v>6000</v>
      </c>
      <c r="BG7" s="52">
        <f t="shared" si="3"/>
        <v>6000</v>
      </c>
      <c r="BH7" s="52">
        <f t="shared" si="3"/>
        <v>6000</v>
      </c>
      <c r="BI7" s="52">
        <f t="shared" si="3"/>
        <v>6000</v>
      </c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44"/>
      <c r="CL7" s="109"/>
    </row>
    <row r="8" spans="1:90" s="45" customFormat="1">
      <c r="A8" s="72" t="s">
        <v>184</v>
      </c>
      <c r="B8" s="52">
        <v>500</v>
      </c>
      <c r="C8" s="52">
        <f>B8</f>
        <v>500</v>
      </c>
      <c r="D8" s="52">
        <f t="shared" ref="D8:M8" si="4">C8</f>
        <v>500</v>
      </c>
      <c r="E8" s="52">
        <f t="shared" si="4"/>
        <v>500</v>
      </c>
      <c r="F8" s="52">
        <f t="shared" si="4"/>
        <v>500</v>
      </c>
      <c r="G8" s="52">
        <f t="shared" si="4"/>
        <v>500</v>
      </c>
      <c r="H8" s="52">
        <f t="shared" si="4"/>
        <v>500</v>
      </c>
      <c r="I8" s="52">
        <f t="shared" si="4"/>
        <v>500</v>
      </c>
      <c r="J8" s="52">
        <f t="shared" si="4"/>
        <v>500</v>
      </c>
      <c r="K8" s="52">
        <f t="shared" si="4"/>
        <v>500</v>
      </c>
      <c r="L8" s="52">
        <f t="shared" si="4"/>
        <v>500</v>
      </c>
      <c r="M8" s="52">
        <f t="shared" si="4"/>
        <v>500</v>
      </c>
      <c r="N8" s="52">
        <v>1000</v>
      </c>
      <c r="O8" s="52">
        <f>N8</f>
        <v>1000</v>
      </c>
      <c r="P8" s="52">
        <f t="shared" ref="P8:Y8" si="5">O8</f>
        <v>1000</v>
      </c>
      <c r="Q8" s="52">
        <f t="shared" si="5"/>
        <v>1000</v>
      </c>
      <c r="R8" s="52">
        <f t="shared" si="5"/>
        <v>1000</v>
      </c>
      <c r="S8" s="52">
        <f t="shared" si="5"/>
        <v>1000</v>
      </c>
      <c r="T8" s="52">
        <f t="shared" si="5"/>
        <v>1000</v>
      </c>
      <c r="U8" s="52">
        <f t="shared" si="5"/>
        <v>1000</v>
      </c>
      <c r="V8" s="52">
        <f t="shared" si="5"/>
        <v>1000</v>
      </c>
      <c r="W8" s="52">
        <f t="shared" si="5"/>
        <v>1000</v>
      </c>
      <c r="X8" s="52">
        <f t="shared" si="5"/>
        <v>1000</v>
      </c>
      <c r="Y8" s="52">
        <f t="shared" si="5"/>
        <v>1000</v>
      </c>
      <c r="Z8" s="52">
        <v>2000</v>
      </c>
      <c r="AA8" s="52">
        <v>2000</v>
      </c>
      <c r="AB8" s="52">
        <f>AA8</f>
        <v>2000</v>
      </c>
      <c r="AC8" s="52">
        <f t="shared" ref="AC8:AK8" si="6">AB8</f>
        <v>2000</v>
      </c>
      <c r="AD8" s="52">
        <f t="shared" si="6"/>
        <v>2000</v>
      </c>
      <c r="AE8" s="52">
        <f t="shared" si="6"/>
        <v>2000</v>
      </c>
      <c r="AF8" s="52">
        <f t="shared" si="6"/>
        <v>2000</v>
      </c>
      <c r="AG8" s="52">
        <f t="shared" si="6"/>
        <v>2000</v>
      </c>
      <c r="AH8" s="52">
        <f t="shared" si="6"/>
        <v>2000</v>
      </c>
      <c r="AI8" s="52">
        <f t="shared" si="6"/>
        <v>2000</v>
      </c>
      <c r="AJ8" s="52">
        <f t="shared" si="6"/>
        <v>2000</v>
      </c>
      <c r="AK8" s="52">
        <f t="shared" si="6"/>
        <v>2000</v>
      </c>
      <c r="AL8" s="52">
        <v>3000</v>
      </c>
      <c r="AM8" s="52">
        <f>AL8</f>
        <v>3000</v>
      </c>
      <c r="AN8" s="52">
        <f t="shared" ref="AN8:BI8" si="7">AM8</f>
        <v>3000</v>
      </c>
      <c r="AO8" s="52">
        <f t="shared" si="7"/>
        <v>3000</v>
      </c>
      <c r="AP8" s="52">
        <f t="shared" si="7"/>
        <v>3000</v>
      </c>
      <c r="AQ8" s="52">
        <f t="shared" si="7"/>
        <v>3000</v>
      </c>
      <c r="AR8" s="52">
        <f t="shared" si="7"/>
        <v>3000</v>
      </c>
      <c r="AS8" s="52">
        <f t="shared" si="7"/>
        <v>3000</v>
      </c>
      <c r="AT8" s="52">
        <f t="shared" si="7"/>
        <v>3000</v>
      </c>
      <c r="AU8" s="52">
        <f t="shared" si="7"/>
        <v>3000</v>
      </c>
      <c r="AV8" s="52">
        <f t="shared" si="7"/>
        <v>3000</v>
      </c>
      <c r="AW8" s="52">
        <f t="shared" si="7"/>
        <v>3000</v>
      </c>
      <c r="AX8" s="52">
        <f t="shared" si="7"/>
        <v>3000</v>
      </c>
      <c r="AY8" s="52">
        <f t="shared" si="7"/>
        <v>3000</v>
      </c>
      <c r="AZ8" s="52">
        <f t="shared" si="7"/>
        <v>3000</v>
      </c>
      <c r="BA8" s="52">
        <f t="shared" si="7"/>
        <v>3000</v>
      </c>
      <c r="BB8" s="52">
        <f t="shared" si="7"/>
        <v>3000</v>
      </c>
      <c r="BC8" s="52">
        <f t="shared" si="7"/>
        <v>3000</v>
      </c>
      <c r="BD8" s="52">
        <f t="shared" si="7"/>
        <v>3000</v>
      </c>
      <c r="BE8" s="52">
        <f t="shared" si="7"/>
        <v>3000</v>
      </c>
      <c r="BF8" s="52">
        <f t="shared" si="7"/>
        <v>3000</v>
      </c>
      <c r="BG8" s="52">
        <f t="shared" si="7"/>
        <v>3000</v>
      </c>
      <c r="BH8" s="52">
        <f t="shared" si="7"/>
        <v>3000</v>
      </c>
      <c r="BI8" s="52">
        <f t="shared" si="7"/>
        <v>3000</v>
      </c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44"/>
      <c r="CL8" s="109"/>
    </row>
    <row r="9" spans="1:90" s="45" customFormat="1">
      <c r="A9" s="72" t="s">
        <v>167</v>
      </c>
      <c r="B9" s="52">
        <v>1000</v>
      </c>
      <c r="C9" s="52">
        <f>B9</f>
        <v>1000</v>
      </c>
      <c r="D9" s="52">
        <f t="shared" ref="D9:BI9" si="8">C9</f>
        <v>1000</v>
      </c>
      <c r="E9" s="52">
        <f t="shared" si="8"/>
        <v>1000</v>
      </c>
      <c r="F9" s="52">
        <f t="shared" si="8"/>
        <v>1000</v>
      </c>
      <c r="G9" s="52">
        <f t="shared" si="8"/>
        <v>1000</v>
      </c>
      <c r="H9" s="52">
        <f t="shared" si="8"/>
        <v>1000</v>
      </c>
      <c r="I9" s="52">
        <f t="shared" si="8"/>
        <v>1000</v>
      </c>
      <c r="J9" s="52">
        <f t="shared" si="8"/>
        <v>1000</v>
      </c>
      <c r="K9" s="52">
        <f t="shared" si="8"/>
        <v>1000</v>
      </c>
      <c r="L9" s="52">
        <f t="shared" si="8"/>
        <v>1000</v>
      </c>
      <c r="M9" s="52">
        <f t="shared" si="8"/>
        <v>1000</v>
      </c>
      <c r="N9" s="52">
        <f t="shared" si="8"/>
        <v>1000</v>
      </c>
      <c r="O9" s="52">
        <f t="shared" si="8"/>
        <v>1000</v>
      </c>
      <c r="P9" s="52">
        <f t="shared" si="8"/>
        <v>1000</v>
      </c>
      <c r="Q9" s="52">
        <f t="shared" si="8"/>
        <v>1000</v>
      </c>
      <c r="R9" s="52">
        <f t="shared" si="8"/>
        <v>1000</v>
      </c>
      <c r="S9" s="52">
        <f t="shared" si="8"/>
        <v>1000</v>
      </c>
      <c r="T9" s="52">
        <f t="shared" si="8"/>
        <v>1000</v>
      </c>
      <c r="U9" s="52">
        <f t="shared" si="8"/>
        <v>1000</v>
      </c>
      <c r="V9" s="52">
        <f t="shared" si="8"/>
        <v>1000</v>
      </c>
      <c r="W9" s="52">
        <f t="shared" si="8"/>
        <v>1000</v>
      </c>
      <c r="X9" s="52">
        <f t="shared" si="8"/>
        <v>1000</v>
      </c>
      <c r="Y9" s="52">
        <f t="shared" si="8"/>
        <v>1000</v>
      </c>
      <c r="Z9" s="52">
        <f t="shared" si="8"/>
        <v>1000</v>
      </c>
      <c r="AA9" s="52">
        <f t="shared" si="8"/>
        <v>1000</v>
      </c>
      <c r="AB9" s="52">
        <f t="shared" si="8"/>
        <v>1000</v>
      </c>
      <c r="AC9" s="52">
        <f t="shared" si="8"/>
        <v>1000</v>
      </c>
      <c r="AD9" s="52">
        <f t="shared" si="8"/>
        <v>1000</v>
      </c>
      <c r="AE9" s="52">
        <f t="shared" si="8"/>
        <v>1000</v>
      </c>
      <c r="AF9" s="52">
        <f t="shared" si="8"/>
        <v>1000</v>
      </c>
      <c r="AG9" s="52">
        <f t="shared" si="8"/>
        <v>1000</v>
      </c>
      <c r="AH9" s="52">
        <f t="shared" si="8"/>
        <v>1000</v>
      </c>
      <c r="AI9" s="52">
        <f t="shared" si="8"/>
        <v>1000</v>
      </c>
      <c r="AJ9" s="52">
        <f t="shared" si="8"/>
        <v>1000</v>
      </c>
      <c r="AK9" s="52">
        <f t="shared" si="8"/>
        <v>1000</v>
      </c>
      <c r="AL9" s="52">
        <f t="shared" si="8"/>
        <v>1000</v>
      </c>
      <c r="AM9" s="52">
        <f t="shared" si="8"/>
        <v>1000</v>
      </c>
      <c r="AN9" s="52">
        <f t="shared" si="8"/>
        <v>1000</v>
      </c>
      <c r="AO9" s="52">
        <f t="shared" si="8"/>
        <v>1000</v>
      </c>
      <c r="AP9" s="52">
        <f t="shared" si="8"/>
        <v>1000</v>
      </c>
      <c r="AQ9" s="52">
        <f t="shared" si="8"/>
        <v>1000</v>
      </c>
      <c r="AR9" s="52">
        <f t="shared" si="8"/>
        <v>1000</v>
      </c>
      <c r="AS9" s="52">
        <f t="shared" si="8"/>
        <v>1000</v>
      </c>
      <c r="AT9" s="52">
        <f t="shared" si="8"/>
        <v>1000</v>
      </c>
      <c r="AU9" s="52">
        <f t="shared" si="8"/>
        <v>1000</v>
      </c>
      <c r="AV9" s="52">
        <f t="shared" si="8"/>
        <v>1000</v>
      </c>
      <c r="AW9" s="52">
        <f t="shared" si="8"/>
        <v>1000</v>
      </c>
      <c r="AX9" s="52">
        <f t="shared" si="8"/>
        <v>1000</v>
      </c>
      <c r="AY9" s="52">
        <f t="shared" si="8"/>
        <v>1000</v>
      </c>
      <c r="AZ9" s="52">
        <f t="shared" si="8"/>
        <v>1000</v>
      </c>
      <c r="BA9" s="52">
        <f t="shared" si="8"/>
        <v>1000</v>
      </c>
      <c r="BB9" s="52">
        <f t="shared" si="8"/>
        <v>1000</v>
      </c>
      <c r="BC9" s="52">
        <f t="shared" si="8"/>
        <v>1000</v>
      </c>
      <c r="BD9" s="52">
        <f t="shared" si="8"/>
        <v>1000</v>
      </c>
      <c r="BE9" s="52">
        <f t="shared" si="8"/>
        <v>1000</v>
      </c>
      <c r="BF9" s="52">
        <f t="shared" si="8"/>
        <v>1000</v>
      </c>
      <c r="BG9" s="52">
        <f t="shared" si="8"/>
        <v>1000</v>
      </c>
      <c r="BH9" s="52">
        <f t="shared" si="8"/>
        <v>1000</v>
      </c>
      <c r="BI9" s="52">
        <f t="shared" si="8"/>
        <v>1000</v>
      </c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44"/>
      <c r="CL9" s="109"/>
    </row>
    <row r="10" spans="1:90" ht="15.75" thickBot="1">
      <c r="A10" s="59" t="s">
        <v>25</v>
      </c>
      <c r="B10" s="60">
        <f>SUM(B5:B9)</f>
        <v>62500</v>
      </c>
      <c r="C10" s="60">
        <f t="shared" ref="C10:BI10" si="9">SUM(C5:C9)</f>
        <v>62500</v>
      </c>
      <c r="D10" s="60">
        <f t="shared" si="9"/>
        <v>62500</v>
      </c>
      <c r="E10" s="60">
        <f t="shared" si="9"/>
        <v>62500</v>
      </c>
      <c r="F10" s="60">
        <f t="shared" si="9"/>
        <v>62500</v>
      </c>
      <c r="G10" s="60">
        <f t="shared" si="9"/>
        <v>62500</v>
      </c>
      <c r="H10" s="60">
        <f t="shared" si="9"/>
        <v>34500</v>
      </c>
      <c r="I10" s="60">
        <f t="shared" si="9"/>
        <v>34500</v>
      </c>
      <c r="J10" s="60">
        <f t="shared" si="9"/>
        <v>34500</v>
      </c>
      <c r="K10" s="60">
        <f t="shared" si="9"/>
        <v>34500</v>
      </c>
      <c r="L10" s="60">
        <f t="shared" si="9"/>
        <v>34500</v>
      </c>
      <c r="M10" s="60">
        <f t="shared" si="9"/>
        <v>34500</v>
      </c>
      <c r="N10" s="60">
        <f t="shared" si="9"/>
        <v>35000</v>
      </c>
      <c r="O10" s="60">
        <f t="shared" si="9"/>
        <v>35000</v>
      </c>
      <c r="P10" s="60">
        <f t="shared" si="9"/>
        <v>35000</v>
      </c>
      <c r="Q10" s="60">
        <f t="shared" si="9"/>
        <v>35000</v>
      </c>
      <c r="R10" s="60">
        <f t="shared" si="9"/>
        <v>35000</v>
      </c>
      <c r="S10" s="60">
        <f t="shared" si="9"/>
        <v>35000</v>
      </c>
      <c r="T10" s="60">
        <f t="shared" si="9"/>
        <v>35000</v>
      </c>
      <c r="U10" s="60">
        <f t="shared" si="9"/>
        <v>35000</v>
      </c>
      <c r="V10" s="60">
        <f t="shared" si="9"/>
        <v>35000</v>
      </c>
      <c r="W10" s="60">
        <f t="shared" si="9"/>
        <v>35000</v>
      </c>
      <c r="X10" s="60">
        <f t="shared" si="9"/>
        <v>35000</v>
      </c>
      <c r="Y10" s="60">
        <f t="shared" si="9"/>
        <v>35000</v>
      </c>
      <c r="Z10" s="60">
        <f t="shared" si="9"/>
        <v>36000</v>
      </c>
      <c r="AA10" s="60">
        <f t="shared" si="9"/>
        <v>36000</v>
      </c>
      <c r="AB10" s="60">
        <f t="shared" si="9"/>
        <v>36000</v>
      </c>
      <c r="AC10" s="60">
        <f t="shared" si="9"/>
        <v>36000</v>
      </c>
      <c r="AD10" s="60">
        <f t="shared" si="9"/>
        <v>36000</v>
      </c>
      <c r="AE10" s="60">
        <f t="shared" si="9"/>
        <v>36000</v>
      </c>
      <c r="AF10" s="60">
        <f t="shared" si="9"/>
        <v>36000</v>
      </c>
      <c r="AG10" s="60">
        <f t="shared" si="9"/>
        <v>36000</v>
      </c>
      <c r="AH10" s="60">
        <f t="shared" si="9"/>
        <v>36000</v>
      </c>
      <c r="AI10" s="60">
        <f t="shared" si="9"/>
        <v>36000</v>
      </c>
      <c r="AJ10" s="60">
        <f t="shared" si="9"/>
        <v>36000</v>
      </c>
      <c r="AK10" s="60">
        <f t="shared" si="9"/>
        <v>36000</v>
      </c>
      <c r="AL10" s="60">
        <f t="shared" si="9"/>
        <v>49500</v>
      </c>
      <c r="AM10" s="60">
        <f t="shared" si="9"/>
        <v>49500</v>
      </c>
      <c r="AN10" s="60">
        <f t="shared" si="9"/>
        <v>49500</v>
      </c>
      <c r="AO10" s="60">
        <f t="shared" si="9"/>
        <v>49500</v>
      </c>
      <c r="AP10" s="60">
        <f t="shared" si="9"/>
        <v>49500</v>
      </c>
      <c r="AQ10" s="60">
        <f t="shared" si="9"/>
        <v>49500</v>
      </c>
      <c r="AR10" s="60">
        <f t="shared" si="9"/>
        <v>49500</v>
      </c>
      <c r="AS10" s="60">
        <f t="shared" si="9"/>
        <v>49500</v>
      </c>
      <c r="AT10" s="60">
        <f t="shared" si="9"/>
        <v>49500</v>
      </c>
      <c r="AU10" s="60">
        <f t="shared" si="9"/>
        <v>49500</v>
      </c>
      <c r="AV10" s="60">
        <f t="shared" si="9"/>
        <v>49500</v>
      </c>
      <c r="AW10" s="60">
        <f t="shared" si="9"/>
        <v>49500</v>
      </c>
      <c r="AX10" s="60">
        <f t="shared" si="9"/>
        <v>37000</v>
      </c>
      <c r="AY10" s="60">
        <f t="shared" si="9"/>
        <v>37000</v>
      </c>
      <c r="AZ10" s="60">
        <f t="shared" si="9"/>
        <v>37000</v>
      </c>
      <c r="BA10" s="60">
        <f t="shared" si="9"/>
        <v>37000</v>
      </c>
      <c r="BB10" s="60">
        <f t="shared" si="9"/>
        <v>37000</v>
      </c>
      <c r="BC10" s="60">
        <f t="shared" si="9"/>
        <v>37000</v>
      </c>
      <c r="BD10" s="60">
        <f t="shared" si="9"/>
        <v>37000</v>
      </c>
      <c r="BE10" s="60">
        <f t="shared" si="9"/>
        <v>37000</v>
      </c>
      <c r="BF10" s="60">
        <f t="shared" si="9"/>
        <v>37000</v>
      </c>
      <c r="BG10" s="60">
        <f t="shared" si="9"/>
        <v>37000</v>
      </c>
      <c r="BH10" s="60">
        <f t="shared" si="9"/>
        <v>37000</v>
      </c>
      <c r="BI10" s="60">
        <f t="shared" si="9"/>
        <v>37000</v>
      </c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44"/>
    </row>
    <row r="11" spans="1:90" ht="15.75" thickTop="1"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</row>
    <row r="12" spans="1:90"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</row>
    <row r="13" spans="1:90" ht="15.75">
      <c r="A13" s="195" t="s">
        <v>172</v>
      </c>
      <c r="B13" s="196" t="s">
        <v>105</v>
      </c>
      <c r="C13" s="197" t="s">
        <v>106</v>
      </c>
      <c r="D13" s="196" t="s">
        <v>107</v>
      </c>
      <c r="E13" s="196" t="s">
        <v>108</v>
      </c>
      <c r="F13" s="197" t="s">
        <v>109</v>
      </c>
    </row>
    <row r="14" spans="1:90">
      <c r="A14" s="192" t="s">
        <v>183</v>
      </c>
      <c r="B14" s="198">
        <f>SUM(B5:M5)</f>
        <v>192000</v>
      </c>
      <c r="C14" s="198">
        <f>SUM(N5:Y5)</f>
        <v>24000</v>
      </c>
      <c r="D14" s="198">
        <f>SUM(Z5:AK5)</f>
        <v>24000</v>
      </c>
      <c r="E14" s="198">
        <f>SUM(AL5:AW5)</f>
        <v>24000</v>
      </c>
      <c r="F14" s="198">
        <f>SUM(AX5:BI5)</f>
        <v>24000</v>
      </c>
    </row>
    <row r="15" spans="1:90">
      <c r="A15" s="192" t="s">
        <v>29</v>
      </c>
      <c r="B15" s="198">
        <f t="shared" ref="B15:B18" si="10">SUM(B6:M6)</f>
        <v>300000</v>
      </c>
      <c r="C15" s="198">
        <f t="shared" ref="C15:C18" si="11">SUM(N6:Y6)</f>
        <v>300000</v>
      </c>
      <c r="D15" s="198">
        <f t="shared" ref="D15:D18" si="12">SUM(Z6:AK6)</f>
        <v>300000</v>
      </c>
      <c r="E15" s="198">
        <f t="shared" ref="E15:E18" si="13">SUM(AL6:AW6)</f>
        <v>450000</v>
      </c>
      <c r="F15" s="198">
        <f t="shared" ref="F15:F18" si="14">SUM(AX6:BI6)</f>
        <v>300000</v>
      </c>
    </row>
    <row r="16" spans="1:90">
      <c r="A16" s="192" t="s">
        <v>182</v>
      </c>
      <c r="B16" s="198">
        <f t="shared" si="10"/>
        <v>72000</v>
      </c>
      <c r="C16" s="198">
        <f t="shared" si="11"/>
        <v>72000</v>
      </c>
      <c r="D16" s="198">
        <f t="shared" si="12"/>
        <v>72000</v>
      </c>
      <c r="E16" s="198">
        <f t="shared" si="13"/>
        <v>72000</v>
      </c>
      <c r="F16" s="198">
        <f t="shared" si="14"/>
        <v>72000</v>
      </c>
    </row>
    <row r="17" spans="1:6">
      <c r="A17" s="192" t="s">
        <v>184</v>
      </c>
      <c r="B17" s="198">
        <f t="shared" si="10"/>
        <v>6000</v>
      </c>
      <c r="C17" s="198">
        <f t="shared" si="11"/>
        <v>12000</v>
      </c>
      <c r="D17" s="198">
        <f t="shared" si="12"/>
        <v>24000</v>
      </c>
      <c r="E17" s="198">
        <f t="shared" si="13"/>
        <v>36000</v>
      </c>
      <c r="F17" s="198">
        <f t="shared" si="14"/>
        <v>36000</v>
      </c>
    </row>
    <row r="18" spans="1:6">
      <c r="A18" s="192" t="s">
        <v>167</v>
      </c>
      <c r="B18" s="198">
        <f t="shared" si="10"/>
        <v>12000</v>
      </c>
      <c r="C18" s="198">
        <f t="shared" si="11"/>
        <v>12000</v>
      </c>
      <c r="D18" s="198">
        <f t="shared" si="12"/>
        <v>12000</v>
      </c>
      <c r="E18" s="198">
        <f t="shared" si="13"/>
        <v>12000</v>
      </c>
      <c r="F18" s="198">
        <f t="shared" si="14"/>
        <v>12000</v>
      </c>
    </row>
    <row r="19" spans="1:6">
      <c r="A19" s="199" t="s">
        <v>25</v>
      </c>
      <c r="B19" s="200">
        <f>SUM(B14:B18)</f>
        <v>582000</v>
      </c>
      <c r="C19" s="200">
        <f t="shared" ref="C19:F19" si="15">SUM(C14:C18)</f>
        <v>420000</v>
      </c>
      <c r="D19" s="200">
        <f t="shared" si="15"/>
        <v>432000</v>
      </c>
      <c r="E19" s="200">
        <f t="shared" si="15"/>
        <v>594000</v>
      </c>
      <c r="F19" s="200">
        <f t="shared" si="15"/>
        <v>444000</v>
      </c>
    </row>
    <row r="20" spans="1:6">
      <c r="A20" s="43"/>
      <c r="B20" s="43"/>
      <c r="C20" s="43"/>
      <c r="D20" s="43"/>
      <c r="E20" s="43"/>
      <c r="F20" s="43"/>
    </row>
  </sheetData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X100"/>
  <sheetViews>
    <sheetView topLeftCell="A73" zoomScale="90" zoomScaleNormal="90" workbookViewId="0">
      <pane xSplit="1" topLeftCell="B1" activePane="topRight" state="frozen"/>
      <selection activeCell="A30" sqref="A30"/>
      <selection pane="topRight" activeCell="G100" sqref="G100"/>
    </sheetView>
  </sheetViews>
  <sheetFormatPr defaultColWidth="8.85546875" defaultRowHeight="12"/>
  <cols>
    <col min="1" max="1" width="42.140625" style="19" customWidth="1"/>
    <col min="2" max="2" width="13.5703125" style="19" bestFit="1" customWidth="1"/>
    <col min="3" max="3" width="12.140625" style="19" bestFit="1" customWidth="1"/>
    <col min="4" max="6" width="13.7109375" style="19" bestFit="1" customWidth="1"/>
    <col min="7" max="37" width="12" style="19" bestFit="1" customWidth="1"/>
    <col min="38" max="49" width="12" style="20" bestFit="1" customWidth="1"/>
    <col min="50" max="61" width="12" style="21" bestFit="1" customWidth="1"/>
    <col min="62" max="62" width="14" style="21" customWidth="1"/>
    <col min="63" max="63" width="11" style="21" bestFit="1" customWidth="1"/>
    <col min="64" max="72" width="8.85546875" style="21"/>
    <col min="73" max="73" width="12.140625" style="21" customWidth="1"/>
    <col min="74" max="75" width="11" style="21" bestFit="1" customWidth="1"/>
    <col min="76" max="84" width="8.85546875" style="21"/>
    <col min="85" max="85" width="13.85546875" style="21" customWidth="1"/>
    <col min="86" max="16384" width="8.85546875" style="21"/>
  </cols>
  <sheetData>
    <row r="1" spans="1:85" s="17" customFormat="1" ht="20.25">
      <c r="A1" s="141" t="s">
        <v>81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</row>
    <row r="2" spans="1:85" s="17" customFormat="1">
      <c r="A2" s="18" t="str">
        <f>CONCATENATE(Company, " : ",start, " -  ",end)</f>
        <v>Tourbr.com : Mês 1 -  Mês 60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</row>
    <row r="3" spans="1:85" s="17" customFormat="1">
      <c r="A3" s="18" t="str">
        <f>CONCATENATE("Valores em ",currency)</f>
        <v>Valores em R$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</row>
    <row r="4" spans="1:85" ht="12.75" thickBot="1"/>
    <row r="5" spans="1:85" s="25" customFormat="1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4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</row>
    <row r="6" spans="1:85" s="30" customFormat="1" ht="12.75" thickBot="1">
      <c r="A6" s="26"/>
      <c r="B6" s="27" t="s">
        <v>60</v>
      </c>
      <c r="C6" s="28" t="s">
        <v>61</v>
      </c>
      <c r="D6" s="28" t="s">
        <v>62</v>
      </c>
      <c r="E6" s="28" t="s">
        <v>63</v>
      </c>
      <c r="F6" s="28" t="s">
        <v>64</v>
      </c>
      <c r="G6" s="28" t="s">
        <v>65</v>
      </c>
      <c r="H6" s="28" t="s">
        <v>66</v>
      </c>
      <c r="I6" s="28" t="s">
        <v>67</v>
      </c>
      <c r="J6" s="28" t="s">
        <v>77</v>
      </c>
      <c r="K6" s="28" t="s">
        <v>78</v>
      </c>
      <c r="L6" s="28" t="s">
        <v>75</v>
      </c>
      <c r="M6" s="28" t="s">
        <v>76</v>
      </c>
      <c r="N6" s="28" t="s">
        <v>0</v>
      </c>
      <c r="O6" s="28" t="s">
        <v>1</v>
      </c>
      <c r="P6" s="28" t="s">
        <v>2</v>
      </c>
      <c r="Q6" s="28" t="s">
        <v>3</v>
      </c>
      <c r="R6" s="28" t="s">
        <v>4</v>
      </c>
      <c r="S6" s="28" t="s">
        <v>5</v>
      </c>
      <c r="T6" s="28" t="s">
        <v>6</v>
      </c>
      <c r="U6" s="28" t="s">
        <v>7</v>
      </c>
      <c r="V6" s="28" t="s">
        <v>8</v>
      </c>
      <c r="W6" s="28" t="s">
        <v>9</v>
      </c>
      <c r="X6" s="28" t="s">
        <v>10</v>
      </c>
      <c r="Y6" s="28" t="s">
        <v>11</v>
      </c>
      <c r="Z6" s="28" t="s">
        <v>12</v>
      </c>
      <c r="AA6" s="28" t="s">
        <v>13</v>
      </c>
      <c r="AB6" s="28" t="s">
        <v>14</v>
      </c>
      <c r="AC6" s="28" t="s">
        <v>15</v>
      </c>
      <c r="AD6" s="28" t="s">
        <v>16</v>
      </c>
      <c r="AE6" s="28" t="s">
        <v>17</v>
      </c>
      <c r="AF6" s="28" t="s">
        <v>18</v>
      </c>
      <c r="AG6" s="28" t="s">
        <v>19</v>
      </c>
      <c r="AH6" s="28" t="s">
        <v>20</v>
      </c>
      <c r="AI6" s="28" t="s">
        <v>21</v>
      </c>
      <c r="AJ6" s="28" t="s">
        <v>90</v>
      </c>
      <c r="AK6" s="28" t="s">
        <v>91</v>
      </c>
      <c r="AL6" s="28" t="s">
        <v>92</v>
      </c>
      <c r="AM6" s="28" t="s">
        <v>30</v>
      </c>
      <c r="AN6" s="28" t="s">
        <v>31</v>
      </c>
      <c r="AO6" s="28" t="s">
        <v>32</v>
      </c>
      <c r="AP6" s="28" t="s">
        <v>33</v>
      </c>
      <c r="AQ6" s="28" t="s">
        <v>34</v>
      </c>
      <c r="AR6" s="28" t="s">
        <v>35</v>
      </c>
      <c r="AS6" s="28" t="s">
        <v>36</v>
      </c>
      <c r="AT6" s="28" t="s">
        <v>37</v>
      </c>
      <c r="AU6" s="28" t="s">
        <v>38</v>
      </c>
      <c r="AV6" s="28" t="s">
        <v>39</v>
      </c>
      <c r="AW6" s="28" t="s">
        <v>40</v>
      </c>
      <c r="AX6" s="28" t="s">
        <v>41</v>
      </c>
      <c r="AY6" s="28" t="s">
        <v>42</v>
      </c>
      <c r="AZ6" s="28" t="s">
        <v>43</v>
      </c>
      <c r="BA6" s="28" t="s">
        <v>44</v>
      </c>
      <c r="BB6" s="28" t="s">
        <v>45</v>
      </c>
      <c r="BC6" s="28" t="s">
        <v>46</v>
      </c>
      <c r="BD6" s="28" t="s">
        <v>47</v>
      </c>
      <c r="BE6" s="28" t="s">
        <v>48</v>
      </c>
      <c r="BF6" s="28" t="s">
        <v>49</v>
      </c>
      <c r="BG6" s="28" t="s">
        <v>50</v>
      </c>
      <c r="BH6" s="28" t="s">
        <v>79</v>
      </c>
      <c r="BI6" s="29" t="s">
        <v>80</v>
      </c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</row>
    <row r="7" spans="1:85">
      <c r="A7" s="31" t="s">
        <v>82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3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</row>
    <row r="8" spans="1:85">
      <c r="A8" s="34" t="s">
        <v>83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119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</row>
    <row r="9" spans="1:85">
      <c r="A9" s="36" t="s">
        <v>86</v>
      </c>
      <c r="B9" s="35">
        <v>4</v>
      </c>
      <c r="C9" s="35">
        <f>B9</f>
        <v>4</v>
      </c>
      <c r="D9" s="35">
        <f t="shared" ref="D9:BI9" si="0">C9</f>
        <v>4</v>
      </c>
      <c r="E9" s="35">
        <f t="shared" si="0"/>
        <v>4</v>
      </c>
      <c r="F9" s="35">
        <f t="shared" si="0"/>
        <v>4</v>
      </c>
      <c r="G9" s="35">
        <f t="shared" si="0"/>
        <v>4</v>
      </c>
      <c r="H9" s="35">
        <f t="shared" si="0"/>
        <v>4</v>
      </c>
      <c r="I9" s="35">
        <f t="shared" si="0"/>
        <v>4</v>
      </c>
      <c r="J9" s="35">
        <f t="shared" si="0"/>
        <v>4</v>
      </c>
      <c r="K9" s="35">
        <f t="shared" si="0"/>
        <v>4</v>
      </c>
      <c r="L9" s="35">
        <f t="shared" si="0"/>
        <v>4</v>
      </c>
      <c r="M9" s="35">
        <f t="shared" si="0"/>
        <v>4</v>
      </c>
      <c r="N9" s="35">
        <f t="shared" si="0"/>
        <v>4</v>
      </c>
      <c r="O9" s="35">
        <f t="shared" si="0"/>
        <v>4</v>
      </c>
      <c r="P9" s="35">
        <f t="shared" si="0"/>
        <v>4</v>
      </c>
      <c r="Q9" s="35">
        <f t="shared" si="0"/>
        <v>4</v>
      </c>
      <c r="R9" s="35">
        <f t="shared" si="0"/>
        <v>4</v>
      </c>
      <c r="S9" s="35">
        <f t="shared" si="0"/>
        <v>4</v>
      </c>
      <c r="T9" s="35">
        <f t="shared" si="0"/>
        <v>4</v>
      </c>
      <c r="U9" s="35">
        <f t="shared" si="0"/>
        <v>4</v>
      </c>
      <c r="V9" s="35">
        <f t="shared" si="0"/>
        <v>4</v>
      </c>
      <c r="W9" s="35">
        <f t="shared" si="0"/>
        <v>4</v>
      </c>
      <c r="X9" s="35">
        <f t="shared" si="0"/>
        <v>4</v>
      </c>
      <c r="Y9" s="35">
        <f t="shared" si="0"/>
        <v>4</v>
      </c>
      <c r="Z9" s="35">
        <f t="shared" si="0"/>
        <v>4</v>
      </c>
      <c r="AA9" s="35">
        <f t="shared" si="0"/>
        <v>4</v>
      </c>
      <c r="AB9" s="35">
        <f t="shared" si="0"/>
        <v>4</v>
      </c>
      <c r="AC9" s="35">
        <f t="shared" si="0"/>
        <v>4</v>
      </c>
      <c r="AD9" s="35">
        <f t="shared" si="0"/>
        <v>4</v>
      </c>
      <c r="AE9" s="35">
        <f t="shared" si="0"/>
        <v>4</v>
      </c>
      <c r="AF9" s="35">
        <f t="shared" si="0"/>
        <v>4</v>
      </c>
      <c r="AG9" s="35">
        <f t="shared" si="0"/>
        <v>4</v>
      </c>
      <c r="AH9" s="35">
        <f t="shared" si="0"/>
        <v>4</v>
      </c>
      <c r="AI9" s="35">
        <f t="shared" si="0"/>
        <v>4</v>
      </c>
      <c r="AJ9" s="35">
        <f t="shared" si="0"/>
        <v>4</v>
      </c>
      <c r="AK9" s="35">
        <f t="shared" si="0"/>
        <v>4</v>
      </c>
      <c r="AL9" s="35">
        <f t="shared" si="0"/>
        <v>4</v>
      </c>
      <c r="AM9" s="35">
        <f t="shared" si="0"/>
        <v>4</v>
      </c>
      <c r="AN9" s="35">
        <f t="shared" si="0"/>
        <v>4</v>
      </c>
      <c r="AO9" s="35">
        <f t="shared" si="0"/>
        <v>4</v>
      </c>
      <c r="AP9" s="35">
        <f t="shared" si="0"/>
        <v>4</v>
      </c>
      <c r="AQ9" s="35">
        <f t="shared" si="0"/>
        <v>4</v>
      </c>
      <c r="AR9" s="35">
        <f t="shared" si="0"/>
        <v>4</v>
      </c>
      <c r="AS9" s="35">
        <f t="shared" si="0"/>
        <v>4</v>
      </c>
      <c r="AT9" s="35">
        <f t="shared" si="0"/>
        <v>4</v>
      </c>
      <c r="AU9" s="35">
        <f t="shared" si="0"/>
        <v>4</v>
      </c>
      <c r="AV9" s="35">
        <f t="shared" si="0"/>
        <v>4</v>
      </c>
      <c r="AW9" s="35">
        <f t="shared" si="0"/>
        <v>4</v>
      </c>
      <c r="AX9" s="35">
        <f t="shared" si="0"/>
        <v>4</v>
      </c>
      <c r="AY9" s="35">
        <f t="shared" si="0"/>
        <v>4</v>
      </c>
      <c r="AZ9" s="35">
        <f t="shared" si="0"/>
        <v>4</v>
      </c>
      <c r="BA9" s="35">
        <f t="shared" si="0"/>
        <v>4</v>
      </c>
      <c r="BB9" s="35">
        <f t="shared" si="0"/>
        <v>4</v>
      </c>
      <c r="BC9" s="35">
        <f t="shared" si="0"/>
        <v>4</v>
      </c>
      <c r="BD9" s="35">
        <f t="shared" si="0"/>
        <v>4</v>
      </c>
      <c r="BE9" s="35">
        <f t="shared" si="0"/>
        <v>4</v>
      </c>
      <c r="BF9" s="35">
        <f t="shared" si="0"/>
        <v>4</v>
      </c>
      <c r="BG9" s="35">
        <f t="shared" si="0"/>
        <v>4</v>
      </c>
      <c r="BH9" s="35">
        <f t="shared" si="0"/>
        <v>4</v>
      </c>
      <c r="BI9" s="119">
        <f t="shared" si="0"/>
        <v>4</v>
      </c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</row>
    <row r="10" spans="1:85">
      <c r="A10" s="34" t="s">
        <v>175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119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</row>
    <row r="11" spans="1:85">
      <c r="A11" s="36" t="s">
        <v>177</v>
      </c>
      <c r="B11" s="35">
        <v>1</v>
      </c>
      <c r="C11" s="35">
        <f>B11</f>
        <v>1</v>
      </c>
      <c r="D11" s="35">
        <f t="shared" ref="D11:M11" si="1">C11</f>
        <v>1</v>
      </c>
      <c r="E11" s="35">
        <f t="shared" si="1"/>
        <v>1</v>
      </c>
      <c r="F11" s="35">
        <f t="shared" si="1"/>
        <v>1</v>
      </c>
      <c r="G11" s="35">
        <f t="shared" si="1"/>
        <v>1</v>
      </c>
      <c r="H11" s="35">
        <f t="shared" si="1"/>
        <v>1</v>
      </c>
      <c r="I11" s="35">
        <f t="shared" si="1"/>
        <v>1</v>
      </c>
      <c r="J11" s="35">
        <f t="shared" si="1"/>
        <v>1</v>
      </c>
      <c r="K11" s="35">
        <f t="shared" si="1"/>
        <v>1</v>
      </c>
      <c r="L11" s="35">
        <f t="shared" si="1"/>
        <v>1</v>
      </c>
      <c r="M11" s="35">
        <f t="shared" si="1"/>
        <v>1</v>
      </c>
      <c r="N11" s="35">
        <f t="shared" ref="N11:N14" si="2">M11</f>
        <v>1</v>
      </c>
      <c r="O11" s="35">
        <f t="shared" ref="O11:O14" si="3">N11</f>
        <v>1</v>
      </c>
      <c r="P11" s="35">
        <f t="shared" ref="P11:P14" si="4">O11</f>
        <v>1</v>
      </c>
      <c r="Q11" s="35">
        <f t="shared" ref="Q11:Q14" si="5">P11</f>
        <v>1</v>
      </c>
      <c r="R11" s="35">
        <f t="shared" ref="R11:R14" si="6">Q11</f>
        <v>1</v>
      </c>
      <c r="S11" s="35">
        <f t="shared" ref="S11:S14" si="7">R11</f>
        <v>1</v>
      </c>
      <c r="T11" s="35">
        <f t="shared" ref="T11:T14" si="8">S11</f>
        <v>1</v>
      </c>
      <c r="U11" s="35">
        <f t="shared" ref="U11:U14" si="9">T11</f>
        <v>1</v>
      </c>
      <c r="V11" s="35">
        <f t="shared" ref="V11:V14" si="10">U11</f>
        <v>1</v>
      </c>
      <c r="W11" s="35">
        <f t="shared" ref="W11:W14" si="11">V11</f>
        <v>1</v>
      </c>
      <c r="X11" s="35">
        <f t="shared" ref="X11:X14" si="12">W11</f>
        <v>1</v>
      </c>
      <c r="Y11" s="35">
        <f t="shared" ref="Y11:Y14" si="13">X11</f>
        <v>1</v>
      </c>
      <c r="Z11" s="35">
        <f t="shared" ref="Z11:AL11" si="14">Y11</f>
        <v>1</v>
      </c>
      <c r="AA11" s="35">
        <f t="shared" ref="AA11:AA12" si="15">Z11</f>
        <v>1</v>
      </c>
      <c r="AB11" s="35">
        <f t="shared" ref="AB11:AB12" si="16">AA11</f>
        <v>1</v>
      </c>
      <c r="AC11" s="35">
        <f t="shared" ref="AC11:AC12" si="17">AB11</f>
        <v>1</v>
      </c>
      <c r="AD11" s="35">
        <f t="shared" ref="AD11:AD12" si="18">AC11</f>
        <v>1</v>
      </c>
      <c r="AE11" s="35">
        <f t="shared" ref="AE11:AE12" si="19">AD11</f>
        <v>1</v>
      </c>
      <c r="AF11" s="35">
        <f t="shared" ref="AF11:AF12" si="20">AE11</f>
        <v>1</v>
      </c>
      <c r="AG11" s="35">
        <f t="shared" ref="AG11:AG12" si="21">AF11</f>
        <v>1</v>
      </c>
      <c r="AH11" s="35">
        <f t="shared" ref="AH11:AH12" si="22">AG11</f>
        <v>1</v>
      </c>
      <c r="AI11" s="35">
        <f t="shared" ref="AI11:AI12" si="23">AH11</f>
        <v>1</v>
      </c>
      <c r="AJ11" s="35">
        <f t="shared" ref="AJ11:AJ12" si="24">AI11</f>
        <v>1</v>
      </c>
      <c r="AK11" s="35">
        <f t="shared" ref="AK11:AK12" si="25">AJ11</f>
        <v>1</v>
      </c>
      <c r="AL11" s="35">
        <f t="shared" si="14"/>
        <v>1</v>
      </c>
      <c r="AM11" s="35">
        <f t="shared" ref="AM11:AM12" si="26">AL11</f>
        <v>1</v>
      </c>
      <c r="AN11" s="35">
        <f t="shared" ref="AN11:AN12" si="27">AM11</f>
        <v>1</v>
      </c>
      <c r="AO11" s="35">
        <f t="shared" ref="AO11:AO12" si="28">AN11</f>
        <v>1</v>
      </c>
      <c r="AP11" s="35">
        <f t="shared" ref="AP11:AP12" si="29">AO11</f>
        <v>1</v>
      </c>
      <c r="AQ11" s="35">
        <f t="shared" ref="AQ11:AQ12" si="30">AP11</f>
        <v>1</v>
      </c>
      <c r="AR11" s="35">
        <f t="shared" ref="AR11:AR12" si="31">AQ11</f>
        <v>1</v>
      </c>
      <c r="AS11" s="35">
        <f t="shared" ref="AS11:AS12" si="32">AR11</f>
        <v>1</v>
      </c>
      <c r="AT11" s="35">
        <f t="shared" ref="AT11:AT12" si="33">AS11</f>
        <v>1</v>
      </c>
      <c r="AU11" s="35">
        <f t="shared" ref="AU11:AU12" si="34">AT11</f>
        <v>1</v>
      </c>
      <c r="AV11" s="35">
        <f t="shared" ref="AV11:AV12" si="35">AU11</f>
        <v>1</v>
      </c>
      <c r="AW11" s="35">
        <f t="shared" ref="AW11:AW12" si="36">AV11</f>
        <v>1</v>
      </c>
      <c r="AX11" s="35">
        <f t="shared" ref="AX11:AX12" si="37">AW11</f>
        <v>1</v>
      </c>
      <c r="AY11" s="35">
        <f t="shared" ref="AY11:AY12" si="38">AX11</f>
        <v>1</v>
      </c>
      <c r="AZ11" s="35">
        <f t="shared" ref="AZ11:AZ12" si="39">AY11</f>
        <v>1</v>
      </c>
      <c r="BA11" s="35">
        <f t="shared" ref="BA11:BA12" si="40">AZ11</f>
        <v>1</v>
      </c>
      <c r="BB11" s="35">
        <f t="shared" ref="BB11:BB12" si="41">BA11</f>
        <v>1</v>
      </c>
      <c r="BC11" s="35">
        <f t="shared" ref="BC11:BC12" si="42">BB11</f>
        <v>1</v>
      </c>
      <c r="BD11" s="35">
        <f t="shared" ref="BD11:BD12" si="43">BC11</f>
        <v>1</v>
      </c>
      <c r="BE11" s="35">
        <f t="shared" ref="BE11:BE12" si="44">BD11</f>
        <v>1</v>
      </c>
      <c r="BF11" s="35">
        <f t="shared" ref="BF11:BF12" si="45">BE11</f>
        <v>1</v>
      </c>
      <c r="BG11" s="35">
        <f t="shared" ref="BG11:BG12" si="46">BF11</f>
        <v>1</v>
      </c>
      <c r="BH11" s="35">
        <f t="shared" ref="BH11:BH12" si="47">BG11</f>
        <v>1</v>
      </c>
      <c r="BI11" s="35">
        <f t="shared" ref="BI11:BI12" si="48">BH11</f>
        <v>1</v>
      </c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</row>
    <row r="12" spans="1:85">
      <c r="A12" s="36" t="s">
        <v>176</v>
      </c>
      <c r="B12" s="35">
        <v>1</v>
      </c>
      <c r="C12" s="35">
        <f>B12</f>
        <v>1</v>
      </c>
      <c r="D12" s="35">
        <f t="shared" ref="D12:M12" si="49">C12</f>
        <v>1</v>
      </c>
      <c r="E12" s="35">
        <f t="shared" si="49"/>
        <v>1</v>
      </c>
      <c r="F12" s="35">
        <f t="shared" si="49"/>
        <v>1</v>
      </c>
      <c r="G12" s="35">
        <f t="shared" si="49"/>
        <v>1</v>
      </c>
      <c r="H12" s="35">
        <f t="shared" si="49"/>
        <v>1</v>
      </c>
      <c r="I12" s="35">
        <f t="shared" si="49"/>
        <v>1</v>
      </c>
      <c r="J12" s="35">
        <f t="shared" si="49"/>
        <v>1</v>
      </c>
      <c r="K12" s="35">
        <f t="shared" si="49"/>
        <v>1</v>
      </c>
      <c r="L12" s="35">
        <f t="shared" si="49"/>
        <v>1</v>
      </c>
      <c r="M12" s="35">
        <f t="shared" si="49"/>
        <v>1</v>
      </c>
      <c r="N12" s="35">
        <f t="shared" si="2"/>
        <v>1</v>
      </c>
      <c r="O12" s="35">
        <f t="shared" si="3"/>
        <v>1</v>
      </c>
      <c r="P12" s="35">
        <f t="shared" si="4"/>
        <v>1</v>
      </c>
      <c r="Q12" s="35">
        <f t="shared" si="5"/>
        <v>1</v>
      </c>
      <c r="R12" s="35">
        <f t="shared" si="6"/>
        <v>1</v>
      </c>
      <c r="S12" s="35">
        <f t="shared" si="7"/>
        <v>1</v>
      </c>
      <c r="T12" s="35">
        <f t="shared" si="8"/>
        <v>1</v>
      </c>
      <c r="U12" s="35">
        <f t="shared" si="9"/>
        <v>1</v>
      </c>
      <c r="V12" s="35">
        <f t="shared" si="10"/>
        <v>1</v>
      </c>
      <c r="W12" s="35">
        <f t="shared" si="11"/>
        <v>1</v>
      </c>
      <c r="X12" s="35">
        <f t="shared" si="12"/>
        <v>1</v>
      </c>
      <c r="Y12" s="35">
        <f t="shared" si="13"/>
        <v>1</v>
      </c>
      <c r="Z12" s="35">
        <f t="shared" ref="Z12:AL12" si="50">Y12</f>
        <v>1</v>
      </c>
      <c r="AA12" s="35">
        <f t="shared" si="15"/>
        <v>1</v>
      </c>
      <c r="AB12" s="35">
        <f t="shared" si="16"/>
        <v>1</v>
      </c>
      <c r="AC12" s="35">
        <f t="shared" si="17"/>
        <v>1</v>
      </c>
      <c r="AD12" s="35">
        <f t="shared" si="18"/>
        <v>1</v>
      </c>
      <c r="AE12" s="35">
        <f t="shared" si="19"/>
        <v>1</v>
      </c>
      <c r="AF12" s="35">
        <f t="shared" si="20"/>
        <v>1</v>
      </c>
      <c r="AG12" s="35">
        <f t="shared" si="21"/>
        <v>1</v>
      </c>
      <c r="AH12" s="35">
        <f t="shared" si="22"/>
        <v>1</v>
      </c>
      <c r="AI12" s="35">
        <f t="shared" si="23"/>
        <v>1</v>
      </c>
      <c r="AJ12" s="35">
        <f t="shared" si="24"/>
        <v>1</v>
      </c>
      <c r="AK12" s="35">
        <f t="shared" si="25"/>
        <v>1</v>
      </c>
      <c r="AL12" s="35">
        <f t="shared" si="50"/>
        <v>1</v>
      </c>
      <c r="AM12" s="35">
        <f t="shared" si="26"/>
        <v>1</v>
      </c>
      <c r="AN12" s="35">
        <f t="shared" si="27"/>
        <v>1</v>
      </c>
      <c r="AO12" s="35">
        <f t="shared" si="28"/>
        <v>1</v>
      </c>
      <c r="AP12" s="35">
        <f t="shared" si="29"/>
        <v>1</v>
      </c>
      <c r="AQ12" s="35">
        <f t="shared" si="30"/>
        <v>1</v>
      </c>
      <c r="AR12" s="35">
        <f t="shared" si="31"/>
        <v>1</v>
      </c>
      <c r="AS12" s="35">
        <f t="shared" si="32"/>
        <v>1</v>
      </c>
      <c r="AT12" s="35">
        <f t="shared" si="33"/>
        <v>1</v>
      </c>
      <c r="AU12" s="35">
        <f t="shared" si="34"/>
        <v>1</v>
      </c>
      <c r="AV12" s="35">
        <f t="shared" si="35"/>
        <v>1</v>
      </c>
      <c r="AW12" s="35">
        <f t="shared" si="36"/>
        <v>1</v>
      </c>
      <c r="AX12" s="35">
        <f t="shared" si="37"/>
        <v>1</v>
      </c>
      <c r="AY12" s="35">
        <f t="shared" si="38"/>
        <v>1</v>
      </c>
      <c r="AZ12" s="35">
        <f t="shared" si="39"/>
        <v>1</v>
      </c>
      <c r="BA12" s="35">
        <f t="shared" si="40"/>
        <v>1</v>
      </c>
      <c r="BB12" s="35">
        <f t="shared" si="41"/>
        <v>1</v>
      </c>
      <c r="BC12" s="35">
        <f t="shared" si="42"/>
        <v>1</v>
      </c>
      <c r="BD12" s="35">
        <f t="shared" si="43"/>
        <v>1</v>
      </c>
      <c r="BE12" s="35">
        <f t="shared" si="44"/>
        <v>1</v>
      </c>
      <c r="BF12" s="35">
        <f t="shared" si="45"/>
        <v>1</v>
      </c>
      <c r="BG12" s="35">
        <f t="shared" si="46"/>
        <v>1</v>
      </c>
      <c r="BH12" s="35">
        <f t="shared" si="47"/>
        <v>1</v>
      </c>
      <c r="BI12" s="35">
        <f t="shared" si="48"/>
        <v>1</v>
      </c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</row>
    <row r="13" spans="1:85">
      <c r="A13" s="36" t="s">
        <v>180</v>
      </c>
      <c r="B13" s="35">
        <v>1</v>
      </c>
      <c r="C13" s="35">
        <f>B13</f>
        <v>1</v>
      </c>
      <c r="D13" s="35">
        <f t="shared" ref="D13:M14" si="51">C13</f>
        <v>1</v>
      </c>
      <c r="E13" s="35">
        <f t="shared" si="51"/>
        <v>1</v>
      </c>
      <c r="F13" s="35">
        <f t="shared" si="51"/>
        <v>1</v>
      </c>
      <c r="G13" s="35">
        <f t="shared" si="51"/>
        <v>1</v>
      </c>
      <c r="H13" s="35">
        <f t="shared" si="51"/>
        <v>1</v>
      </c>
      <c r="I13" s="35">
        <f t="shared" si="51"/>
        <v>1</v>
      </c>
      <c r="J13" s="35">
        <f t="shared" si="51"/>
        <v>1</v>
      </c>
      <c r="K13" s="35">
        <f t="shared" si="51"/>
        <v>1</v>
      </c>
      <c r="L13" s="35">
        <f t="shared" si="51"/>
        <v>1</v>
      </c>
      <c r="M13" s="35">
        <f t="shared" si="51"/>
        <v>1</v>
      </c>
      <c r="N13" s="35">
        <f t="shared" si="2"/>
        <v>1</v>
      </c>
      <c r="O13" s="35">
        <f t="shared" si="3"/>
        <v>1</v>
      </c>
      <c r="P13" s="35">
        <f t="shared" si="4"/>
        <v>1</v>
      </c>
      <c r="Q13" s="35">
        <f t="shared" si="5"/>
        <v>1</v>
      </c>
      <c r="R13" s="35">
        <f t="shared" si="6"/>
        <v>1</v>
      </c>
      <c r="S13" s="35">
        <f t="shared" si="7"/>
        <v>1</v>
      </c>
      <c r="T13" s="35">
        <f t="shared" si="8"/>
        <v>1</v>
      </c>
      <c r="U13" s="35">
        <f t="shared" si="9"/>
        <v>1</v>
      </c>
      <c r="V13" s="35">
        <f t="shared" si="10"/>
        <v>1</v>
      </c>
      <c r="W13" s="35">
        <f t="shared" si="11"/>
        <v>1</v>
      </c>
      <c r="X13" s="35">
        <f t="shared" si="12"/>
        <v>1</v>
      </c>
      <c r="Y13" s="35">
        <f t="shared" si="13"/>
        <v>1</v>
      </c>
      <c r="Z13" s="35">
        <v>1</v>
      </c>
      <c r="AA13" s="35">
        <v>1</v>
      </c>
      <c r="AB13" s="35">
        <v>1</v>
      </c>
      <c r="AC13" s="35">
        <v>1</v>
      </c>
      <c r="AD13" s="35">
        <v>1</v>
      </c>
      <c r="AE13" s="35">
        <v>1</v>
      </c>
      <c r="AF13" s="35">
        <v>1</v>
      </c>
      <c r="AG13" s="35">
        <v>1</v>
      </c>
      <c r="AH13" s="35">
        <v>1</v>
      </c>
      <c r="AI13" s="35">
        <v>1</v>
      </c>
      <c r="AJ13" s="35">
        <v>1</v>
      </c>
      <c r="AK13" s="35">
        <v>1</v>
      </c>
      <c r="AL13" s="35">
        <v>1</v>
      </c>
      <c r="AM13" s="35">
        <v>1</v>
      </c>
      <c r="AN13" s="35">
        <v>1</v>
      </c>
      <c r="AO13" s="35">
        <v>1</v>
      </c>
      <c r="AP13" s="35">
        <v>1</v>
      </c>
      <c r="AQ13" s="35">
        <v>1</v>
      </c>
      <c r="AR13" s="35">
        <v>1</v>
      </c>
      <c r="AS13" s="35">
        <v>1</v>
      </c>
      <c r="AT13" s="35">
        <v>1</v>
      </c>
      <c r="AU13" s="35">
        <v>1</v>
      </c>
      <c r="AV13" s="35">
        <v>1</v>
      </c>
      <c r="AW13" s="35">
        <v>1</v>
      </c>
      <c r="AX13" s="35">
        <v>1</v>
      </c>
      <c r="AY13" s="35">
        <v>1</v>
      </c>
      <c r="AZ13" s="35">
        <v>1</v>
      </c>
      <c r="BA13" s="35">
        <v>1</v>
      </c>
      <c r="BB13" s="35">
        <v>1</v>
      </c>
      <c r="BC13" s="35">
        <v>1</v>
      </c>
      <c r="BD13" s="35">
        <v>1</v>
      </c>
      <c r="BE13" s="35">
        <v>1</v>
      </c>
      <c r="BF13" s="35">
        <v>1</v>
      </c>
      <c r="BG13" s="35">
        <v>1</v>
      </c>
      <c r="BH13" s="35">
        <v>1</v>
      </c>
      <c r="BI13" s="35">
        <v>1</v>
      </c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</row>
    <row r="14" spans="1:85">
      <c r="A14" s="36" t="s">
        <v>99</v>
      </c>
      <c r="B14" s="35">
        <v>0</v>
      </c>
      <c r="C14" s="35">
        <f>B14</f>
        <v>0</v>
      </c>
      <c r="D14" s="35">
        <f t="shared" si="51"/>
        <v>0</v>
      </c>
      <c r="E14" s="35">
        <f t="shared" si="51"/>
        <v>0</v>
      </c>
      <c r="F14" s="35">
        <f t="shared" si="51"/>
        <v>0</v>
      </c>
      <c r="G14" s="35">
        <f t="shared" si="51"/>
        <v>0</v>
      </c>
      <c r="H14" s="35">
        <f t="shared" si="51"/>
        <v>0</v>
      </c>
      <c r="I14" s="35">
        <f t="shared" si="51"/>
        <v>0</v>
      </c>
      <c r="J14" s="35">
        <f t="shared" si="51"/>
        <v>0</v>
      </c>
      <c r="K14" s="35">
        <f t="shared" si="51"/>
        <v>0</v>
      </c>
      <c r="L14" s="35">
        <f t="shared" si="51"/>
        <v>0</v>
      </c>
      <c r="M14" s="35">
        <f t="shared" si="51"/>
        <v>0</v>
      </c>
      <c r="N14" s="35">
        <f t="shared" si="2"/>
        <v>0</v>
      </c>
      <c r="O14" s="35">
        <f t="shared" si="3"/>
        <v>0</v>
      </c>
      <c r="P14" s="35">
        <f t="shared" si="4"/>
        <v>0</v>
      </c>
      <c r="Q14" s="35">
        <f t="shared" si="5"/>
        <v>0</v>
      </c>
      <c r="R14" s="35">
        <f t="shared" si="6"/>
        <v>0</v>
      </c>
      <c r="S14" s="35">
        <f t="shared" si="7"/>
        <v>0</v>
      </c>
      <c r="T14" s="35">
        <f t="shared" si="8"/>
        <v>0</v>
      </c>
      <c r="U14" s="35">
        <f t="shared" si="9"/>
        <v>0</v>
      </c>
      <c r="V14" s="35">
        <f t="shared" si="10"/>
        <v>0</v>
      </c>
      <c r="W14" s="35">
        <f t="shared" si="11"/>
        <v>0</v>
      </c>
      <c r="X14" s="35">
        <f t="shared" si="12"/>
        <v>0</v>
      </c>
      <c r="Y14" s="35">
        <f t="shared" si="13"/>
        <v>0</v>
      </c>
      <c r="Z14" s="35">
        <v>1</v>
      </c>
      <c r="AA14" s="35">
        <v>1</v>
      </c>
      <c r="AB14" s="35">
        <v>1</v>
      </c>
      <c r="AC14" s="35">
        <v>1</v>
      </c>
      <c r="AD14" s="35">
        <v>1</v>
      </c>
      <c r="AE14" s="35">
        <v>1</v>
      </c>
      <c r="AF14" s="35">
        <v>1</v>
      </c>
      <c r="AG14" s="35">
        <v>1</v>
      </c>
      <c r="AH14" s="35">
        <v>1</v>
      </c>
      <c r="AI14" s="35">
        <v>1</v>
      </c>
      <c r="AJ14" s="35">
        <v>1</v>
      </c>
      <c r="AK14" s="35">
        <v>1</v>
      </c>
      <c r="AL14" s="35">
        <v>1</v>
      </c>
      <c r="AM14" s="35">
        <v>1</v>
      </c>
      <c r="AN14" s="35">
        <v>1</v>
      </c>
      <c r="AO14" s="35">
        <v>1</v>
      </c>
      <c r="AP14" s="35">
        <v>1</v>
      </c>
      <c r="AQ14" s="35">
        <v>1</v>
      </c>
      <c r="AR14" s="35">
        <v>1</v>
      </c>
      <c r="AS14" s="35">
        <v>1</v>
      </c>
      <c r="AT14" s="35">
        <v>1</v>
      </c>
      <c r="AU14" s="35">
        <v>1</v>
      </c>
      <c r="AV14" s="35">
        <v>1</v>
      </c>
      <c r="AW14" s="35">
        <v>1</v>
      </c>
      <c r="AX14" s="35">
        <v>1</v>
      </c>
      <c r="AY14" s="35">
        <v>1</v>
      </c>
      <c r="AZ14" s="35">
        <v>1</v>
      </c>
      <c r="BA14" s="35">
        <v>1</v>
      </c>
      <c r="BB14" s="35">
        <v>1</v>
      </c>
      <c r="BC14" s="35">
        <v>1</v>
      </c>
      <c r="BD14" s="35">
        <v>1</v>
      </c>
      <c r="BE14" s="35">
        <v>1</v>
      </c>
      <c r="BF14" s="35">
        <v>1</v>
      </c>
      <c r="BG14" s="35">
        <v>1</v>
      </c>
      <c r="BH14" s="35">
        <v>1</v>
      </c>
      <c r="BI14" s="35">
        <v>1</v>
      </c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</row>
    <row r="15" spans="1:85">
      <c r="A15" s="34" t="s">
        <v>173</v>
      </c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</row>
    <row r="16" spans="1:85">
      <c r="A16" s="36" t="s">
        <v>178</v>
      </c>
      <c r="B16" s="35">
        <v>1</v>
      </c>
      <c r="C16" s="35">
        <f>B16</f>
        <v>1</v>
      </c>
      <c r="D16" s="35">
        <f t="shared" ref="D16:AL16" si="52">C16</f>
        <v>1</v>
      </c>
      <c r="E16" s="35">
        <f t="shared" si="52"/>
        <v>1</v>
      </c>
      <c r="F16" s="35">
        <f t="shared" si="52"/>
        <v>1</v>
      </c>
      <c r="G16" s="35">
        <f t="shared" si="52"/>
        <v>1</v>
      </c>
      <c r="H16" s="35">
        <f t="shared" si="52"/>
        <v>1</v>
      </c>
      <c r="I16" s="35">
        <f t="shared" si="52"/>
        <v>1</v>
      </c>
      <c r="J16" s="35">
        <f t="shared" si="52"/>
        <v>1</v>
      </c>
      <c r="K16" s="35">
        <f t="shared" si="52"/>
        <v>1</v>
      </c>
      <c r="L16" s="35">
        <f t="shared" si="52"/>
        <v>1</v>
      </c>
      <c r="M16" s="35">
        <f t="shared" si="52"/>
        <v>1</v>
      </c>
      <c r="N16" s="35">
        <f t="shared" ref="N16" si="53">M16</f>
        <v>1</v>
      </c>
      <c r="O16" s="35">
        <f t="shared" ref="O16" si="54">N16</f>
        <v>1</v>
      </c>
      <c r="P16" s="35">
        <f t="shared" ref="P16" si="55">O16</f>
        <v>1</v>
      </c>
      <c r="Q16" s="35">
        <f t="shared" ref="Q16" si="56">P16</f>
        <v>1</v>
      </c>
      <c r="R16" s="35">
        <f t="shared" ref="R16" si="57">Q16</f>
        <v>1</v>
      </c>
      <c r="S16" s="35">
        <f t="shared" ref="S16" si="58">R16</f>
        <v>1</v>
      </c>
      <c r="T16" s="35">
        <f t="shared" ref="T16" si="59">S16</f>
        <v>1</v>
      </c>
      <c r="U16" s="35">
        <f t="shared" ref="U16" si="60">T16</f>
        <v>1</v>
      </c>
      <c r="V16" s="35">
        <f t="shared" ref="V16" si="61">U16</f>
        <v>1</v>
      </c>
      <c r="W16" s="35">
        <f t="shared" ref="W16" si="62">V16</f>
        <v>1</v>
      </c>
      <c r="X16" s="35">
        <f t="shared" ref="X16" si="63">W16</f>
        <v>1</v>
      </c>
      <c r="Y16" s="35">
        <f t="shared" ref="Y16" si="64">X16</f>
        <v>1</v>
      </c>
      <c r="Z16" s="35">
        <f t="shared" si="52"/>
        <v>1</v>
      </c>
      <c r="AA16" s="35">
        <f t="shared" ref="AA16" si="65">Z16</f>
        <v>1</v>
      </c>
      <c r="AB16" s="35">
        <f t="shared" ref="AB16" si="66">AA16</f>
        <v>1</v>
      </c>
      <c r="AC16" s="35">
        <f t="shared" ref="AC16" si="67">AB16</f>
        <v>1</v>
      </c>
      <c r="AD16" s="35">
        <f t="shared" ref="AD16" si="68">AC16</f>
        <v>1</v>
      </c>
      <c r="AE16" s="35">
        <f t="shared" ref="AE16" si="69">AD16</f>
        <v>1</v>
      </c>
      <c r="AF16" s="35">
        <f t="shared" ref="AF16" si="70">AE16</f>
        <v>1</v>
      </c>
      <c r="AG16" s="35">
        <f t="shared" ref="AG16" si="71">AF16</f>
        <v>1</v>
      </c>
      <c r="AH16" s="35">
        <f t="shared" ref="AH16" si="72">AG16</f>
        <v>1</v>
      </c>
      <c r="AI16" s="35">
        <f t="shared" ref="AI16" si="73">AH16</f>
        <v>1</v>
      </c>
      <c r="AJ16" s="35">
        <f t="shared" ref="AJ16" si="74">AI16</f>
        <v>1</v>
      </c>
      <c r="AK16" s="35">
        <f t="shared" ref="AK16" si="75">AJ16</f>
        <v>1</v>
      </c>
      <c r="AL16" s="35">
        <f t="shared" si="52"/>
        <v>1</v>
      </c>
      <c r="AM16" s="35">
        <f t="shared" ref="AM16" si="76">AL16</f>
        <v>1</v>
      </c>
      <c r="AN16" s="35">
        <f t="shared" ref="AN16" si="77">AM16</f>
        <v>1</v>
      </c>
      <c r="AO16" s="35">
        <f t="shared" ref="AO16" si="78">AN16</f>
        <v>1</v>
      </c>
      <c r="AP16" s="35">
        <f t="shared" ref="AP16" si="79">AO16</f>
        <v>1</v>
      </c>
      <c r="AQ16" s="35">
        <f t="shared" ref="AQ16" si="80">AP16</f>
        <v>1</v>
      </c>
      <c r="AR16" s="35">
        <f t="shared" ref="AR16" si="81">AQ16</f>
        <v>1</v>
      </c>
      <c r="AS16" s="35">
        <f t="shared" ref="AS16" si="82">AR16</f>
        <v>1</v>
      </c>
      <c r="AT16" s="35">
        <f t="shared" ref="AT16" si="83">AS16</f>
        <v>1</v>
      </c>
      <c r="AU16" s="35">
        <f t="shared" ref="AU16" si="84">AT16</f>
        <v>1</v>
      </c>
      <c r="AV16" s="35">
        <f t="shared" ref="AV16" si="85">AU16</f>
        <v>1</v>
      </c>
      <c r="AW16" s="35">
        <f t="shared" ref="AW16" si="86">AV16</f>
        <v>1</v>
      </c>
      <c r="AX16" s="35">
        <f t="shared" ref="AX16" si="87">AW16</f>
        <v>1</v>
      </c>
      <c r="AY16" s="35">
        <f t="shared" ref="AY16" si="88">AX16</f>
        <v>1</v>
      </c>
      <c r="AZ16" s="35">
        <f t="shared" ref="AZ16" si="89">AY16</f>
        <v>1</v>
      </c>
      <c r="BA16" s="35">
        <f t="shared" ref="BA16" si="90">AZ16</f>
        <v>1</v>
      </c>
      <c r="BB16" s="35">
        <f t="shared" ref="BB16" si="91">BA16</f>
        <v>1</v>
      </c>
      <c r="BC16" s="35">
        <f t="shared" ref="BC16" si="92">BB16</f>
        <v>1</v>
      </c>
      <c r="BD16" s="35">
        <f t="shared" ref="BD16" si="93">BC16</f>
        <v>1</v>
      </c>
      <c r="BE16" s="35">
        <f t="shared" ref="BE16" si="94">BD16</f>
        <v>1</v>
      </c>
      <c r="BF16" s="35">
        <f t="shared" ref="BF16" si="95">BE16</f>
        <v>1</v>
      </c>
      <c r="BG16" s="35">
        <f t="shared" ref="BG16" si="96">BF16</f>
        <v>1</v>
      </c>
      <c r="BH16" s="35">
        <f t="shared" ref="BH16" si="97">BG16</f>
        <v>1</v>
      </c>
      <c r="BI16" s="35">
        <f t="shared" ref="BI16" si="98">BH16</f>
        <v>1</v>
      </c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</row>
    <row r="17" spans="1:85">
      <c r="A17" s="36" t="s">
        <v>181</v>
      </c>
      <c r="B17" s="35">
        <v>2</v>
      </c>
      <c r="C17" s="35">
        <v>2</v>
      </c>
      <c r="D17" s="35">
        <v>2</v>
      </c>
      <c r="E17" s="35">
        <v>2</v>
      </c>
      <c r="F17" s="35">
        <v>2</v>
      </c>
      <c r="G17" s="35">
        <v>2</v>
      </c>
      <c r="H17" s="35">
        <v>2</v>
      </c>
      <c r="I17" s="35">
        <v>2</v>
      </c>
      <c r="J17" s="35">
        <v>2</v>
      </c>
      <c r="K17" s="35">
        <v>2</v>
      </c>
      <c r="L17" s="35">
        <v>2</v>
      </c>
      <c r="M17" s="35">
        <v>2</v>
      </c>
      <c r="N17" s="35">
        <v>2</v>
      </c>
      <c r="O17" s="35">
        <v>2</v>
      </c>
      <c r="P17" s="35">
        <v>2</v>
      </c>
      <c r="Q17" s="35">
        <v>2</v>
      </c>
      <c r="R17" s="35">
        <v>2</v>
      </c>
      <c r="S17" s="35">
        <v>2</v>
      </c>
      <c r="T17" s="35">
        <v>2</v>
      </c>
      <c r="U17" s="35">
        <v>2</v>
      </c>
      <c r="V17" s="35">
        <v>2</v>
      </c>
      <c r="W17" s="35">
        <v>2</v>
      </c>
      <c r="X17" s="35">
        <v>2</v>
      </c>
      <c r="Y17" s="35">
        <v>2</v>
      </c>
      <c r="Z17" s="35">
        <v>2</v>
      </c>
      <c r="AA17" s="35">
        <v>2</v>
      </c>
      <c r="AB17" s="35">
        <v>2</v>
      </c>
      <c r="AC17" s="35">
        <v>2</v>
      </c>
      <c r="AD17" s="35">
        <v>2</v>
      </c>
      <c r="AE17" s="35">
        <v>2</v>
      </c>
      <c r="AF17" s="35">
        <v>2</v>
      </c>
      <c r="AG17" s="35">
        <v>2</v>
      </c>
      <c r="AH17" s="35">
        <v>2</v>
      </c>
      <c r="AI17" s="35">
        <v>2</v>
      </c>
      <c r="AJ17" s="35">
        <v>2</v>
      </c>
      <c r="AK17" s="35">
        <v>2</v>
      </c>
      <c r="AL17" s="35">
        <v>2</v>
      </c>
      <c r="AM17" s="35">
        <v>2</v>
      </c>
      <c r="AN17" s="35">
        <v>2</v>
      </c>
      <c r="AO17" s="35">
        <v>2</v>
      </c>
      <c r="AP17" s="35">
        <v>2</v>
      </c>
      <c r="AQ17" s="35">
        <v>2</v>
      </c>
      <c r="AR17" s="35">
        <v>2</v>
      </c>
      <c r="AS17" s="35">
        <v>2</v>
      </c>
      <c r="AT17" s="35">
        <v>2</v>
      </c>
      <c r="AU17" s="35">
        <v>2</v>
      </c>
      <c r="AV17" s="35">
        <v>2</v>
      </c>
      <c r="AW17" s="35">
        <v>2</v>
      </c>
      <c r="AX17" s="35">
        <v>2</v>
      </c>
      <c r="AY17" s="35">
        <v>2</v>
      </c>
      <c r="AZ17" s="35">
        <v>2</v>
      </c>
      <c r="BA17" s="35">
        <v>2</v>
      </c>
      <c r="BB17" s="35">
        <v>2</v>
      </c>
      <c r="BC17" s="35">
        <v>2</v>
      </c>
      <c r="BD17" s="35">
        <v>2</v>
      </c>
      <c r="BE17" s="35">
        <v>2</v>
      </c>
      <c r="BF17" s="35">
        <v>2</v>
      </c>
      <c r="BG17" s="35">
        <v>2</v>
      </c>
      <c r="BH17" s="35">
        <v>2</v>
      </c>
      <c r="BI17" s="35">
        <v>2</v>
      </c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</row>
    <row r="18" spans="1:85">
      <c r="A18" s="36" t="s">
        <v>72</v>
      </c>
      <c r="B18" s="35">
        <v>2</v>
      </c>
      <c r="C18" s="35">
        <v>2</v>
      </c>
      <c r="D18" s="35">
        <v>2</v>
      </c>
      <c r="E18" s="35">
        <v>2</v>
      </c>
      <c r="F18" s="35">
        <v>2</v>
      </c>
      <c r="G18" s="35">
        <v>2</v>
      </c>
      <c r="H18" s="35">
        <v>2</v>
      </c>
      <c r="I18" s="35">
        <v>2</v>
      </c>
      <c r="J18" s="35">
        <v>2</v>
      </c>
      <c r="K18" s="35">
        <v>2</v>
      </c>
      <c r="L18" s="35">
        <v>2</v>
      </c>
      <c r="M18" s="35">
        <v>2</v>
      </c>
      <c r="N18" s="35">
        <v>2</v>
      </c>
      <c r="O18" s="35">
        <v>2</v>
      </c>
      <c r="P18" s="35">
        <v>2</v>
      </c>
      <c r="Q18" s="35">
        <v>2</v>
      </c>
      <c r="R18" s="35">
        <v>2</v>
      </c>
      <c r="S18" s="35">
        <v>2</v>
      </c>
      <c r="T18" s="35">
        <v>2</v>
      </c>
      <c r="U18" s="35">
        <v>2</v>
      </c>
      <c r="V18" s="35">
        <v>2</v>
      </c>
      <c r="W18" s="35">
        <v>2</v>
      </c>
      <c r="X18" s="35">
        <v>2</v>
      </c>
      <c r="Y18" s="35">
        <v>2</v>
      </c>
      <c r="Z18" s="35">
        <v>2</v>
      </c>
      <c r="AA18" s="35">
        <v>2</v>
      </c>
      <c r="AB18" s="35">
        <v>2</v>
      </c>
      <c r="AC18" s="35">
        <v>2</v>
      </c>
      <c r="AD18" s="35">
        <v>2</v>
      </c>
      <c r="AE18" s="35">
        <v>2</v>
      </c>
      <c r="AF18" s="35">
        <v>2</v>
      </c>
      <c r="AG18" s="35">
        <v>2</v>
      </c>
      <c r="AH18" s="35">
        <v>2</v>
      </c>
      <c r="AI18" s="35">
        <v>2</v>
      </c>
      <c r="AJ18" s="35">
        <v>2</v>
      </c>
      <c r="AK18" s="35">
        <v>2</v>
      </c>
      <c r="AL18" s="35">
        <v>3</v>
      </c>
      <c r="AM18" s="35">
        <v>3</v>
      </c>
      <c r="AN18" s="35">
        <v>3</v>
      </c>
      <c r="AO18" s="35">
        <v>3</v>
      </c>
      <c r="AP18" s="35">
        <v>3</v>
      </c>
      <c r="AQ18" s="35">
        <v>3</v>
      </c>
      <c r="AR18" s="35">
        <v>3</v>
      </c>
      <c r="AS18" s="35">
        <v>3</v>
      </c>
      <c r="AT18" s="35">
        <v>3</v>
      </c>
      <c r="AU18" s="35">
        <v>3</v>
      </c>
      <c r="AV18" s="35">
        <v>3</v>
      </c>
      <c r="AW18" s="35">
        <v>3</v>
      </c>
      <c r="AX18" s="35">
        <v>4</v>
      </c>
      <c r="AY18" s="35">
        <v>4</v>
      </c>
      <c r="AZ18" s="35">
        <v>4</v>
      </c>
      <c r="BA18" s="35">
        <v>4</v>
      </c>
      <c r="BB18" s="35">
        <v>4</v>
      </c>
      <c r="BC18" s="35">
        <v>4</v>
      </c>
      <c r="BD18" s="35">
        <v>4</v>
      </c>
      <c r="BE18" s="35">
        <v>4</v>
      </c>
      <c r="BF18" s="35">
        <v>4</v>
      </c>
      <c r="BG18" s="35">
        <v>4</v>
      </c>
      <c r="BH18" s="35">
        <v>4</v>
      </c>
      <c r="BI18" s="35">
        <v>4</v>
      </c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</row>
    <row r="19" spans="1:85">
      <c r="A19" s="36" t="s">
        <v>99</v>
      </c>
      <c r="B19" s="35">
        <v>0</v>
      </c>
      <c r="C19" s="35">
        <f>B19</f>
        <v>0</v>
      </c>
      <c r="D19" s="35">
        <f t="shared" ref="D19:AL19" si="99">C19</f>
        <v>0</v>
      </c>
      <c r="E19" s="35">
        <f t="shared" si="99"/>
        <v>0</v>
      </c>
      <c r="F19" s="35">
        <f t="shared" si="99"/>
        <v>0</v>
      </c>
      <c r="G19" s="35">
        <f t="shared" si="99"/>
        <v>0</v>
      </c>
      <c r="H19" s="35">
        <f t="shared" si="99"/>
        <v>0</v>
      </c>
      <c r="I19" s="35">
        <f t="shared" si="99"/>
        <v>0</v>
      </c>
      <c r="J19" s="35">
        <f t="shared" si="99"/>
        <v>0</v>
      </c>
      <c r="K19" s="35">
        <f t="shared" si="99"/>
        <v>0</v>
      </c>
      <c r="L19" s="35">
        <f t="shared" si="99"/>
        <v>0</v>
      </c>
      <c r="M19" s="35">
        <f t="shared" si="99"/>
        <v>0</v>
      </c>
      <c r="N19" s="35">
        <f t="shared" ref="N19" si="100">M19</f>
        <v>0</v>
      </c>
      <c r="O19" s="35">
        <f t="shared" ref="O19" si="101">N19</f>
        <v>0</v>
      </c>
      <c r="P19" s="35">
        <f t="shared" ref="P19" si="102">O19</f>
        <v>0</v>
      </c>
      <c r="Q19" s="35">
        <f t="shared" ref="Q19" si="103">P19</f>
        <v>0</v>
      </c>
      <c r="R19" s="35">
        <f t="shared" ref="R19" si="104">Q19</f>
        <v>0</v>
      </c>
      <c r="S19" s="35">
        <f t="shared" ref="S19" si="105">R19</f>
        <v>0</v>
      </c>
      <c r="T19" s="35">
        <f t="shared" ref="T19" si="106">S19</f>
        <v>0</v>
      </c>
      <c r="U19" s="35">
        <f t="shared" ref="U19" si="107">T19</f>
        <v>0</v>
      </c>
      <c r="V19" s="35">
        <f t="shared" ref="V19" si="108">U19</f>
        <v>0</v>
      </c>
      <c r="W19" s="35">
        <f t="shared" ref="W19" si="109">V19</f>
        <v>0</v>
      </c>
      <c r="X19" s="35">
        <f t="shared" ref="X19" si="110">W19</f>
        <v>0</v>
      </c>
      <c r="Y19" s="35">
        <f t="shared" ref="Y19" si="111">X19</f>
        <v>0</v>
      </c>
      <c r="Z19" s="35">
        <v>1</v>
      </c>
      <c r="AA19" s="35">
        <v>1</v>
      </c>
      <c r="AB19" s="35">
        <v>1</v>
      </c>
      <c r="AC19" s="35">
        <v>1</v>
      </c>
      <c r="AD19" s="35">
        <v>1</v>
      </c>
      <c r="AE19" s="35">
        <v>1</v>
      </c>
      <c r="AF19" s="35">
        <v>1</v>
      </c>
      <c r="AG19" s="35">
        <v>1</v>
      </c>
      <c r="AH19" s="35">
        <v>1</v>
      </c>
      <c r="AI19" s="35">
        <v>1</v>
      </c>
      <c r="AJ19" s="35">
        <v>1</v>
      </c>
      <c r="AK19" s="35">
        <v>1</v>
      </c>
      <c r="AL19" s="35">
        <f t="shared" si="99"/>
        <v>1</v>
      </c>
      <c r="AM19" s="35">
        <f t="shared" ref="AM19" si="112">AL19</f>
        <v>1</v>
      </c>
      <c r="AN19" s="35">
        <f t="shared" ref="AN19" si="113">AM19</f>
        <v>1</v>
      </c>
      <c r="AO19" s="35">
        <f t="shared" ref="AO19" si="114">AN19</f>
        <v>1</v>
      </c>
      <c r="AP19" s="35">
        <f t="shared" ref="AP19" si="115">AO19</f>
        <v>1</v>
      </c>
      <c r="AQ19" s="35">
        <f t="shared" ref="AQ19" si="116">AP19</f>
        <v>1</v>
      </c>
      <c r="AR19" s="35">
        <f t="shared" ref="AR19" si="117">AQ19</f>
        <v>1</v>
      </c>
      <c r="AS19" s="35">
        <f t="shared" ref="AS19" si="118">AR19</f>
        <v>1</v>
      </c>
      <c r="AT19" s="35">
        <f t="shared" ref="AT19" si="119">AS19</f>
        <v>1</v>
      </c>
      <c r="AU19" s="35">
        <f t="shared" ref="AU19" si="120">AT19</f>
        <v>1</v>
      </c>
      <c r="AV19" s="35">
        <f t="shared" ref="AV19" si="121">AU19</f>
        <v>1</v>
      </c>
      <c r="AW19" s="35">
        <f t="shared" ref="AW19" si="122">AV19</f>
        <v>1</v>
      </c>
      <c r="AX19" s="35">
        <f t="shared" ref="AX19" si="123">AW19</f>
        <v>1</v>
      </c>
      <c r="AY19" s="35">
        <f t="shared" ref="AY19" si="124">AX19</f>
        <v>1</v>
      </c>
      <c r="AZ19" s="35">
        <f t="shared" ref="AZ19" si="125">AY19</f>
        <v>1</v>
      </c>
      <c r="BA19" s="35">
        <f t="shared" ref="BA19" si="126">AZ19</f>
        <v>1</v>
      </c>
      <c r="BB19" s="35">
        <f t="shared" ref="BB19" si="127">BA19</f>
        <v>1</v>
      </c>
      <c r="BC19" s="35">
        <f t="shared" ref="BC19" si="128">BB19</f>
        <v>1</v>
      </c>
      <c r="BD19" s="35">
        <f t="shared" ref="BD19" si="129">BC19</f>
        <v>1</v>
      </c>
      <c r="BE19" s="35">
        <f t="shared" ref="BE19" si="130">BD19</f>
        <v>1</v>
      </c>
      <c r="BF19" s="35">
        <f t="shared" ref="BF19" si="131">BE19</f>
        <v>1</v>
      </c>
      <c r="BG19" s="35">
        <f t="shared" ref="BG19" si="132">BF19</f>
        <v>1</v>
      </c>
      <c r="BH19" s="35">
        <f t="shared" ref="BH19" si="133">BG19</f>
        <v>1</v>
      </c>
      <c r="BI19" s="35">
        <f t="shared" ref="BI19" si="134">BH19</f>
        <v>1</v>
      </c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</row>
    <row r="20" spans="1:85">
      <c r="A20" s="34" t="s">
        <v>174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</row>
    <row r="21" spans="1:85">
      <c r="A21" s="36" t="s">
        <v>179</v>
      </c>
      <c r="B21" s="35">
        <v>1</v>
      </c>
      <c r="C21" s="35">
        <f>B21</f>
        <v>1</v>
      </c>
      <c r="D21" s="35">
        <f>C21</f>
        <v>1</v>
      </c>
      <c r="E21" s="35">
        <f>D21</f>
        <v>1</v>
      </c>
      <c r="F21" s="35">
        <f>E21</f>
        <v>1</v>
      </c>
      <c r="G21" s="35">
        <f>F21</f>
        <v>1</v>
      </c>
      <c r="H21" s="35">
        <v>1</v>
      </c>
      <c r="I21" s="35">
        <f>H21</f>
        <v>1</v>
      </c>
      <c r="J21" s="35">
        <f t="shared" ref="J21:AL23" si="135">I21</f>
        <v>1</v>
      </c>
      <c r="K21" s="35">
        <f t="shared" si="135"/>
        <v>1</v>
      </c>
      <c r="L21" s="35">
        <f t="shared" si="135"/>
        <v>1</v>
      </c>
      <c r="M21" s="35">
        <f t="shared" si="135"/>
        <v>1</v>
      </c>
      <c r="N21" s="35">
        <f t="shared" ref="N21:N22" si="136">M21</f>
        <v>1</v>
      </c>
      <c r="O21" s="35">
        <f t="shared" ref="O21:O22" si="137">N21</f>
        <v>1</v>
      </c>
      <c r="P21" s="35">
        <f t="shared" ref="P21:P22" si="138">O21</f>
        <v>1</v>
      </c>
      <c r="Q21" s="35">
        <f t="shared" ref="Q21:Q22" si="139">P21</f>
        <v>1</v>
      </c>
      <c r="R21" s="35">
        <f t="shared" ref="R21:R22" si="140">Q21</f>
        <v>1</v>
      </c>
      <c r="S21" s="35">
        <f t="shared" ref="S21:S22" si="141">R21</f>
        <v>1</v>
      </c>
      <c r="T21" s="35">
        <f t="shared" ref="T21:T22" si="142">S21</f>
        <v>1</v>
      </c>
      <c r="U21" s="35">
        <f t="shared" ref="U21:U22" si="143">T21</f>
        <v>1</v>
      </c>
      <c r="V21" s="35">
        <f t="shared" ref="V21:V22" si="144">U21</f>
        <v>1</v>
      </c>
      <c r="W21" s="35">
        <f t="shared" ref="W21:W22" si="145">V21</f>
        <v>1</v>
      </c>
      <c r="X21" s="35">
        <f t="shared" ref="X21:X22" si="146">W21</f>
        <v>1</v>
      </c>
      <c r="Y21" s="35">
        <f t="shared" ref="Y21:Y22" si="147">X21</f>
        <v>1</v>
      </c>
      <c r="Z21" s="35">
        <f t="shared" si="135"/>
        <v>1</v>
      </c>
      <c r="AA21" s="35">
        <f t="shared" ref="AA21" si="148">Z21</f>
        <v>1</v>
      </c>
      <c r="AB21" s="35">
        <f t="shared" ref="AB21" si="149">AA21</f>
        <v>1</v>
      </c>
      <c r="AC21" s="35">
        <f t="shared" ref="AC21" si="150">AB21</f>
        <v>1</v>
      </c>
      <c r="AD21" s="35">
        <f t="shared" ref="AD21" si="151">AC21</f>
        <v>1</v>
      </c>
      <c r="AE21" s="35">
        <f t="shared" ref="AE21" si="152">AD21</f>
        <v>1</v>
      </c>
      <c r="AF21" s="35">
        <f t="shared" ref="AF21" si="153">AE21</f>
        <v>1</v>
      </c>
      <c r="AG21" s="35">
        <f t="shared" ref="AG21" si="154">AF21</f>
        <v>1</v>
      </c>
      <c r="AH21" s="35">
        <f t="shared" ref="AH21" si="155">AG21</f>
        <v>1</v>
      </c>
      <c r="AI21" s="35">
        <f t="shared" ref="AI21" si="156">AH21</f>
        <v>1</v>
      </c>
      <c r="AJ21" s="35">
        <f t="shared" ref="AJ21" si="157">AI21</f>
        <v>1</v>
      </c>
      <c r="AK21" s="35">
        <f t="shared" ref="AK21" si="158">AJ21</f>
        <v>1</v>
      </c>
      <c r="AL21" s="35">
        <f t="shared" si="135"/>
        <v>1</v>
      </c>
      <c r="AM21" s="35">
        <f t="shared" ref="AM21" si="159">AL21</f>
        <v>1</v>
      </c>
      <c r="AN21" s="35">
        <f t="shared" ref="AN21" si="160">AM21</f>
        <v>1</v>
      </c>
      <c r="AO21" s="35">
        <f t="shared" ref="AO21" si="161">AN21</f>
        <v>1</v>
      </c>
      <c r="AP21" s="35">
        <f t="shared" ref="AP21" si="162">AO21</f>
        <v>1</v>
      </c>
      <c r="AQ21" s="35">
        <f t="shared" ref="AQ21" si="163">AP21</f>
        <v>1</v>
      </c>
      <c r="AR21" s="35">
        <f t="shared" ref="AR21" si="164">AQ21</f>
        <v>1</v>
      </c>
      <c r="AS21" s="35">
        <f t="shared" ref="AS21" si="165">AR21</f>
        <v>1</v>
      </c>
      <c r="AT21" s="35">
        <f t="shared" ref="AT21" si="166">AS21</f>
        <v>1</v>
      </c>
      <c r="AU21" s="35">
        <f t="shared" ref="AU21" si="167">AT21</f>
        <v>1</v>
      </c>
      <c r="AV21" s="35">
        <f t="shared" ref="AV21" si="168">AU21</f>
        <v>1</v>
      </c>
      <c r="AW21" s="35">
        <f t="shared" ref="AW21" si="169">AV21</f>
        <v>1</v>
      </c>
      <c r="AX21" s="35">
        <f t="shared" ref="AX21" si="170">AW21</f>
        <v>1</v>
      </c>
      <c r="AY21" s="35">
        <f t="shared" ref="AY21" si="171">AX21</f>
        <v>1</v>
      </c>
      <c r="AZ21" s="35">
        <f t="shared" ref="AZ21" si="172">AY21</f>
        <v>1</v>
      </c>
      <c r="BA21" s="35">
        <f t="shared" ref="BA21" si="173">AZ21</f>
        <v>1</v>
      </c>
      <c r="BB21" s="35">
        <f t="shared" ref="BB21" si="174">BA21</f>
        <v>1</v>
      </c>
      <c r="BC21" s="35">
        <f t="shared" ref="BC21" si="175">BB21</f>
        <v>1</v>
      </c>
      <c r="BD21" s="35">
        <f t="shared" ref="BD21" si="176">BC21</f>
        <v>1</v>
      </c>
      <c r="BE21" s="35">
        <f t="shared" ref="BE21" si="177">BD21</f>
        <v>1</v>
      </c>
      <c r="BF21" s="35">
        <f t="shared" ref="BF21" si="178">BE21</f>
        <v>1</v>
      </c>
      <c r="BG21" s="35">
        <f t="shared" ref="BG21" si="179">BF21</f>
        <v>1</v>
      </c>
      <c r="BH21" s="35">
        <f t="shared" ref="BH21" si="180">BG21</f>
        <v>1</v>
      </c>
      <c r="BI21" s="35">
        <f t="shared" ref="BI21" si="181">BH21</f>
        <v>1</v>
      </c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</row>
    <row r="22" spans="1:85">
      <c r="A22" s="36" t="s">
        <v>74</v>
      </c>
      <c r="B22" s="35">
        <v>1</v>
      </c>
      <c r="C22" s="35">
        <f t="shared" ref="C22:F23" si="182">B22</f>
        <v>1</v>
      </c>
      <c r="D22" s="35">
        <f t="shared" si="182"/>
        <v>1</v>
      </c>
      <c r="E22" s="35">
        <f t="shared" si="182"/>
        <v>1</v>
      </c>
      <c r="F22" s="35">
        <f t="shared" si="182"/>
        <v>1</v>
      </c>
      <c r="G22" s="35">
        <v>1</v>
      </c>
      <c r="H22" s="35">
        <f>G22</f>
        <v>1</v>
      </c>
      <c r="I22" s="35">
        <f t="shared" ref="I22:M23" si="183">H22</f>
        <v>1</v>
      </c>
      <c r="J22" s="35">
        <f t="shared" si="183"/>
        <v>1</v>
      </c>
      <c r="K22" s="35">
        <f t="shared" si="183"/>
        <v>1</v>
      </c>
      <c r="L22" s="35">
        <f t="shared" si="183"/>
        <v>1</v>
      </c>
      <c r="M22" s="35">
        <f t="shared" si="183"/>
        <v>1</v>
      </c>
      <c r="N22" s="35">
        <f t="shared" si="136"/>
        <v>1</v>
      </c>
      <c r="O22" s="35">
        <f t="shared" si="137"/>
        <v>1</v>
      </c>
      <c r="P22" s="35">
        <f t="shared" si="138"/>
        <v>1</v>
      </c>
      <c r="Q22" s="35">
        <f t="shared" si="139"/>
        <v>1</v>
      </c>
      <c r="R22" s="35">
        <f t="shared" si="140"/>
        <v>1</v>
      </c>
      <c r="S22" s="35">
        <f t="shared" si="141"/>
        <v>1</v>
      </c>
      <c r="T22" s="35">
        <f t="shared" si="142"/>
        <v>1</v>
      </c>
      <c r="U22" s="35">
        <f t="shared" si="143"/>
        <v>1</v>
      </c>
      <c r="V22" s="35">
        <f t="shared" si="144"/>
        <v>1</v>
      </c>
      <c r="W22" s="35">
        <f t="shared" si="145"/>
        <v>1</v>
      </c>
      <c r="X22" s="35">
        <f t="shared" si="146"/>
        <v>1</v>
      </c>
      <c r="Y22" s="35">
        <f t="shared" si="147"/>
        <v>1</v>
      </c>
      <c r="Z22" s="35">
        <v>1</v>
      </c>
      <c r="AA22" s="35">
        <v>1</v>
      </c>
      <c r="AB22" s="35">
        <v>1</v>
      </c>
      <c r="AC22" s="35">
        <v>1</v>
      </c>
      <c r="AD22" s="35">
        <v>1</v>
      </c>
      <c r="AE22" s="35">
        <v>1</v>
      </c>
      <c r="AF22" s="35">
        <v>1</v>
      </c>
      <c r="AG22" s="35">
        <v>1</v>
      </c>
      <c r="AH22" s="35">
        <v>1</v>
      </c>
      <c r="AI22" s="35">
        <v>1</v>
      </c>
      <c r="AJ22" s="35">
        <v>1</v>
      </c>
      <c r="AK22" s="35">
        <v>1</v>
      </c>
      <c r="AL22" s="35">
        <v>2</v>
      </c>
      <c r="AM22" s="35">
        <v>2</v>
      </c>
      <c r="AN22" s="35">
        <v>2</v>
      </c>
      <c r="AO22" s="35">
        <v>2</v>
      </c>
      <c r="AP22" s="35">
        <v>2</v>
      </c>
      <c r="AQ22" s="35">
        <v>2</v>
      </c>
      <c r="AR22" s="35">
        <v>2</v>
      </c>
      <c r="AS22" s="35">
        <v>2</v>
      </c>
      <c r="AT22" s="35">
        <v>2</v>
      </c>
      <c r="AU22" s="35">
        <v>2</v>
      </c>
      <c r="AV22" s="35">
        <v>2</v>
      </c>
      <c r="AW22" s="35">
        <v>2</v>
      </c>
      <c r="AX22" s="35">
        <v>4</v>
      </c>
      <c r="AY22" s="35">
        <v>4</v>
      </c>
      <c r="AZ22" s="35">
        <v>4</v>
      </c>
      <c r="BA22" s="35">
        <v>4</v>
      </c>
      <c r="BB22" s="35">
        <v>4</v>
      </c>
      <c r="BC22" s="35">
        <v>4</v>
      </c>
      <c r="BD22" s="35">
        <v>4</v>
      </c>
      <c r="BE22" s="35">
        <v>4</v>
      </c>
      <c r="BF22" s="35">
        <v>4</v>
      </c>
      <c r="BG22" s="35">
        <v>4</v>
      </c>
      <c r="BH22" s="35">
        <v>4</v>
      </c>
      <c r="BI22" s="35">
        <v>4</v>
      </c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</row>
    <row r="23" spans="1:85">
      <c r="A23" s="36" t="s">
        <v>99</v>
      </c>
      <c r="B23" s="35">
        <v>0</v>
      </c>
      <c r="C23" s="35">
        <f t="shared" si="182"/>
        <v>0</v>
      </c>
      <c r="D23" s="35">
        <f t="shared" si="182"/>
        <v>0</v>
      </c>
      <c r="E23" s="35">
        <f t="shared" si="182"/>
        <v>0</v>
      </c>
      <c r="F23" s="35">
        <f t="shared" si="182"/>
        <v>0</v>
      </c>
      <c r="G23" s="35">
        <f>F23</f>
        <v>0</v>
      </c>
      <c r="H23" s="35">
        <v>0</v>
      </c>
      <c r="I23" s="35">
        <f t="shared" si="183"/>
        <v>0</v>
      </c>
      <c r="J23" s="35">
        <f t="shared" si="135"/>
        <v>0</v>
      </c>
      <c r="K23" s="35">
        <f t="shared" si="135"/>
        <v>0</v>
      </c>
      <c r="L23" s="35">
        <f t="shared" si="135"/>
        <v>0</v>
      </c>
      <c r="M23" s="35">
        <f t="shared" si="135"/>
        <v>0</v>
      </c>
      <c r="N23" s="35">
        <v>0</v>
      </c>
      <c r="O23" s="35">
        <v>0</v>
      </c>
      <c r="P23" s="35">
        <f t="shared" si="135"/>
        <v>0</v>
      </c>
      <c r="Q23" s="35">
        <f t="shared" si="135"/>
        <v>0</v>
      </c>
      <c r="R23" s="35">
        <f t="shared" si="135"/>
        <v>0</v>
      </c>
      <c r="S23" s="35">
        <f t="shared" si="135"/>
        <v>0</v>
      </c>
      <c r="T23" s="35">
        <f t="shared" si="135"/>
        <v>0</v>
      </c>
      <c r="U23" s="35">
        <f t="shared" si="135"/>
        <v>0</v>
      </c>
      <c r="V23" s="35">
        <f t="shared" si="135"/>
        <v>0</v>
      </c>
      <c r="W23" s="35">
        <f t="shared" si="135"/>
        <v>0</v>
      </c>
      <c r="X23" s="35">
        <f t="shared" si="135"/>
        <v>0</v>
      </c>
      <c r="Y23" s="35">
        <f t="shared" si="135"/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 s="35">
        <v>1</v>
      </c>
      <c r="AM23" s="35">
        <v>1</v>
      </c>
      <c r="AN23" s="35">
        <v>1</v>
      </c>
      <c r="AO23" s="35">
        <v>1</v>
      </c>
      <c r="AP23" s="35">
        <v>1</v>
      </c>
      <c r="AQ23" s="35">
        <v>1</v>
      </c>
      <c r="AR23" s="35">
        <v>1</v>
      </c>
      <c r="AS23" s="35">
        <v>1</v>
      </c>
      <c r="AT23" s="35">
        <v>1</v>
      </c>
      <c r="AU23" s="35">
        <v>1</v>
      </c>
      <c r="AV23" s="35">
        <v>1</v>
      </c>
      <c r="AW23" s="35">
        <v>1</v>
      </c>
      <c r="AX23" s="35">
        <v>1</v>
      </c>
      <c r="AY23" s="35">
        <v>1</v>
      </c>
      <c r="AZ23" s="35">
        <v>1</v>
      </c>
      <c r="BA23" s="35">
        <v>1</v>
      </c>
      <c r="BB23" s="35">
        <v>1</v>
      </c>
      <c r="BC23" s="35">
        <v>1</v>
      </c>
      <c r="BD23" s="35">
        <v>1</v>
      </c>
      <c r="BE23" s="35">
        <v>1</v>
      </c>
      <c r="BF23" s="35">
        <v>1</v>
      </c>
      <c r="BG23" s="35">
        <v>1</v>
      </c>
      <c r="BH23" s="35">
        <v>1</v>
      </c>
      <c r="BI23" s="35">
        <v>1</v>
      </c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</row>
    <row r="24" spans="1:85" s="37" customFormat="1" ht="12.75">
      <c r="A24" s="38" t="s">
        <v>100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</row>
    <row r="25" spans="1:85">
      <c r="A25" s="34" t="s">
        <v>83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120"/>
    </row>
    <row r="26" spans="1:85">
      <c r="A26" s="36" t="s">
        <v>86</v>
      </c>
      <c r="B26" s="41">
        <v>2000</v>
      </c>
      <c r="C26" s="42">
        <f>B26</f>
        <v>2000</v>
      </c>
      <c r="D26" s="42">
        <f t="shared" ref="D26:BI26" si="184">C26</f>
        <v>2000</v>
      </c>
      <c r="E26" s="42">
        <f t="shared" si="184"/>
        <v>2000</v>
      </c>
      <c r="F26" s="42">
        <f t="shared" si="184"/>
        <v>2000</v>
      </c>
      <c r="G26" s="42">
        <f t="shared" si="184"/>
        <v>2000</v>
      </c>
      <c r="H26" s="42">
        <f t="shared" si="184"/>
        <v>2000</v>
      </c>
      <c r="I26" s="42">
        <f t="shared" si="184"/>
        <v>2000</v>
      </c>
      <c r="J26" s="42">
        <f t="shared" si="184"/>
        <v>2000</v>
      </c>
      <c r="K26" s="42">
        <f t="shared" si="184"/>
        <v>2000</v>
      </c>
      <c r="L26" s="42">
        <f t="shared" si="184"/>
        <v>2000</v>
      </c>
      <c r="M26" s="42">
        <f t="shared" si="184"/>
        <v>2000</v>
      </c>
      <c r="N26" s="42">
        <f t="shared" si="184"/>
        <v>2000</v>
      </c>
      <c r="O26" s="42">
        <f t="shared" si="184"/>
        <v>2000</v>
      </c>
      <c r="P26" s="42">
        <f t="shared" si="184"/>
        <v>2000</v>
      </c>
      <c r="Q26" s="42">
        <f t="shared" si="184"/>
        <v>2000</v>
      </c>
      <c r="R26" s="42">
        <f t="shared" si="184"/>
        <v>2000</v>
      </c>
      <c r="S26" s="42">
        <f t="shared" si="184"/>
        <v>2000</v>
      </c>
      <c r="T26" s="42">
        <f t="shared" si="184"/>
        <v>2000</v>
      </c>
      <c r="U26" s="42">
        <f t="shared" si="184"/>
        <v>2000</v>
      </c>
      <c r="V26" s="42">
        <f t="shared" si="184"/>
        <v>2000</v>
      </c>
      <c r="W26" s="42">
        <f t="shared" si="184"/>
        <v>2000</v>
      </c>
      <c r="X26" s="42">
        <f t="shared" si="184"/>
        <v>2000</v>
      </c>
      <c r="Y26" s="42">
        <f t="shared" si="184"/>
        <v>2000</v>
      </c>
      <c r="Z26" s="42">
        <f t="shared" si="184"/>
        <v>2000</v>
      </c>
      <c r="AA26" s="42">
        <f t="shared" si="184"/>
        <v>2000</v>
      </c>
      <c r="AB26" s="42">
        <f t="shared" si="184"/>
        <v>2000</v>
      </c>
      <c r="AC26" s="42">
        <f t="shared" si="184"/>
        <v>2000</v>
      </c>
      <c r="AD26" s="42">
        <f t="shared" si="184"/>
        <v>2000</v>
      </c>
      <c r="AE26" s="42">
        <f t="shared" si="184"/>
        <v>2000</v>
      </c>
      <c r="AF26" s="42">
        <f t="shared" si="184"/>
        <v>2000</v>
      </c>
      <c r="AG26" s="42">
        <f t="shared" si="184"/>
        <v>2000</v>
      </c>
      <c r="AH26" s="42">
        <f t="shared" si="184"/>
        <v>2000</v>
      </c>
      <c r="AI26" s="42">
        <f t="shared" si="184"/>
        <v>2000</v>
      </c>
      <c r="AJ26" s="42">
        <f t="shared" si="184"/>
        <v>2000</v>
      </c>
      <c r="AK26" s="42">
        <f t="shared" si="184"/>
        <v>2000</v>
      </c>
      <c r="AL26" s="42">
        <f t="shared" si="184"/>
        <v>2000</v>
      </c>
      <c r="AM26" s="42">
        <f t="shared" si="184"/>
        <v>2000</v>
      </c>
      <c r="AN26" s="42">
        <f t="shared" si="184"/>
        <v>2000</v>
      </c>
      <c r="AO26" s="42">
        <f t="shared" si="184"/>
        <v>2000</v>
      </c>
      <c r="AP26" s="42">
        <f t="shared" si="184"/>
        <v>2000</v>
      </c>
      <c r="AQ26" s="42">
        <f t="shared" si="184"/>
        <v>2000</v>
      </c>
      <c r="AR26" s="42">
        <f t="shared" si="184"/>
        <v>2000</v>
      </c>
      <c r="AS26" s="42">
        <f t="shared" si="184"/>
        <v>2000</v>
      </c>
      <c r="AT26" s="42">
        <f t="shared" si="184"/>
        <v>2000</v>
      </c>
      <c r="AU26" s="42">
        <f t="shared" si="184"/>
        <v>2000</v>
      </c>
      <c r="AV26" s="42">
        <f t="shared" si="184"/>
        <v>2000</v>
      </c>
      <c r="AW26" s="42">
        <f t="shared" si="184"/>
        <v>2000</v>
      </c>
      <c r="AX26" s="42">
        <f t="shared" si="184"/>
        <v>2000</v>
      </c>
      <c r="AY26" s="42">
        <f t="shared" si="184"/>
        <v>2000</v>
      </c>
      <c r="AZ26" s="42">
        <f t="shared" si="184"/>
        <v>2000</v>
      </c>
      <c r="BA26" s="42">
        <f t="shared" si="184"/>
        <v>2000</v>
      </c>
      <c r="BB26" s="42">
        <f t="shared" si="184"/>
        <v>2000</v>
      </c>
      <c r="BC26" s="42">
        <f t="shared" si="184"/>
        <v>2000</v>
      </c>
      <c r="BD26" s="42">
        <f t="shared" si="184"/>
        <v>2000</v>
      </c>
      <c r="BE26" s="42">
        <f t="shared" si="184"/>
        <v>2000</v>
      </c>
      <c r="BF26" s="42">
        <f t="shared" si="184"/>
        <v>2000</v>
      </c>
      <c r="BG26" s="42">
        <f t="shared" si="184"/>
        <v>2000</v>
      </c>
      <c r="BH26" s="42">
        <f t="shared" si="184"/>
        <v>2000</v>
      </c>
      <c r="BI26" s="42">
        <f t="shared" si="184"/>
        <v>2000</v>
      </c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</row>
    <row r="27" spans="1:85">
      <c r="A27" s="34" t="s">
        <v>175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120"/>
    </row>
    <row r="28" spans="1:85">
      <c r="A28" s="36" t="s">
        <v>177</v>
      </c>
      <c r="B28" s="41">
        <v>600</v>
      </c>
      <c r="C28" s="41">
        <f>B28</f>
        <v>600</v>
      </c>
      <c r="D28" s="41">
        <f t="shared" ref="D28:Y28" si="185">C28</f>
        <v>600</v>
      </c>
      <c r="E28" s="41">
        <f t="shared" si="185"/>
        <v>600</v>
      </c>
      <c r="F28" s="41">
        <f t="shared" si="185"/>
        <v>600</v>
      </c>
      <c r="G28" s="41">
        <f t="shared" si="185"/>
        <v>600</v>
      </c>
      <c r="H28" s="41">
        <f t="shared" si="185"/>
        <v>600</v>
      </c>
      <c r="I28" s="41">
        <f t="shared" si="185"/>
        <v>600</v>
      </c>
      <c r="J28" s="41">
        <f t="shared" si="185"/>
        <v>600</v>
      </c>
      <c r="K28" s="41">
        <f t="shared" si="185"/>
        <v>600</v>
      </c>
      <c r="L28" s="41">
        <f t="shared" si="185"/>
        <v>600</v>
      </c>
      <c r="M28" s="41">
        <f t="shared" si="185"/>
        <v>600</v>
      </c>
      <c r="N28" s="41">
        <f t="shared" si="185"/>
        <v>600</v>
      </c>
      <c r="O28" s="41">
        <f t="shared" si="185"/>
        <v>600</v>
      </c>
      <c r="P28" s="41">
        <f t="shared" si="185"/>
        <v>600</v>
      </c>
      <c r="Q28" s="41">
        <f t="shared" si="185"/>
        <v>600</v>
      </c>
      <c r="R28" s="41">
        <f t="shared" si="185"/>
        <v>600</v>
      </c>
      <c r="S28" s="41">
        <f t="shared" si="185"/>
        <v>600</v>
      </c>
      <c r="T28" s="41">
        <f t="shared" si="185"/>
        <v>600</v>
      </c>
      <c r="U28" s="41">
        <f t="shared" si="185"/>
        <v>600</v>
      </c>
      <c r="V28" s="41">
        <f t="shared" si="185"/>
        <v>600</v>
      </c>
      <c r="W28" s="41">
        <f t="shared" si="185"/>
        <v>600</v>
      </c>
      <c r="X28" s="41">
        <f t="shared" si="185"/>
        <v>600</v>
      </c>
      <c r="Y28" s="41">
        <f t="shared" si="185"/>
        <v>600</v>
      </c>
      <c r="Z28" s="41">
        <v>10000</v>
      </c>
      <c r="AA28" s="41">
        <f>Z28</f>
        <v>10000</v>
      </c>
      <c r="AB28" s="41">
        <f t="shared" ref="AB28:AK28" si="186">AA28</f>
        <v>10000</v>
      </c>
      <c r="AC28" s="41">
        <f t="shared" si="186"/>
        <v>10000</v>
      </c>
      <c r="AD28" s="41">
        <f t="shared" si="186"/>
        <v>10000</v>
      </c>
      <c r="AE28" s="41">
        <f t="shared" si="186"/>
        <v>10000</v>
      </c>
      <c r="AF28" s="41">
        <f t="shared" si="186"/>
        <v>10000</v>
      </c>
      <c r="AG28" s="41">
        <f t="shared" si="186"/>
        <v>10000</v>
      </c>
      <c r="AH28" s="41">
        <f t="shared" si="186"/>
        <v>10000</v>
      </c>
      <c r="AI28" s="41">
        <f t="shared" si="186"/>
        <v>10000</v>
      </c>
      <c r="AJ28" s="41">
        <f t="shared" si="186"/>
        <v>10000</v>
      </c>
      <c r="AK28" s="41">
        <f t="shared" si="186"/>
        <v>10000</v>
      </c>
      <c r="AL28" s="41">
        <f t="shared" ref="AL28:AL40" si="187">AK28*(1+reajuste)</f>
        <v>11000</v>
      </c>
      <c r="AM28" s="41">
        <f>AL28</f>
        <v>11000</v>
      </c>
      <c r="AN28" s="41">
        <f t="shared" ref="AN28:BI28" si="188">AM28</f>
        <v>11000</v>
      </c>
      <c r="AO28" s="41">
        <f t="shared" si="188"/>
        <v>11000</v>
      </c>
      <c r="AP28" s="41">
        <f t="shared" si="188"/>
        <v>11000</v>
      </c>
      <c r="AQ28" s="41">
        <f t="shared" si="188"/>
        <v>11000</v>
      </c>
      <c r="AR28" s="41">
        <f t="shared" si="188"/>
        <v>11000</v>
      </c>
      <c r="AS28" s="41">
        <f t="shared" si="188"/>
        <v>11000</v>
      </c>
      <c r="AT28" s="41">
        <f t="shared" si="188"/>
        <v>11000</v>
      </c>
      <c r="AU28" s="41">
        <f t="shared" si="188"/>
        <v>11000</v>
      </c>
      <c r="AV28" s="41">
        <f t="shared" si="188"/>
        <v>11000</v>
      </c>
      <c r="AW28" s="41">
        <f t="shared" si="188"/>
        <v>11000</v>
      </c>
      <c r="AX28" s="41">
        <f>AW28*(1+reajuste)</f>
        <v>12100.000000000002</v>
      </c>
      <c r="AY28" s="41">
        <f t="shared" si="188"/>
        <v>12100.000000000002</v>
      </c>
      <c r="AZ28" s="41">
        <f t="shared" si="188"/>
        <v>12100.000000000002</v>
      </c>
      <c r="BA28" s="41">
        <f t="shared" si="188"/>
        <v>12100.000000000002</v>
      </c>
      <c r="BB28" s="41">
        <f t="shared" si="188"/>
        <v>12100.000000000002</v>
      </c>
      <c r="BC28" s="41">
        <f t="shared" si="188"/>
        <v>12100.000000000002</v>
      </c>
      <c r="BD28" s="41">
        <f t="shared" si="188"/>
        <v>12100.000000000002</v>
      </c>
      <c r="BE28" s="41">
        <f t="shared" si="188"/>
        <v>12100.000000000002</v>
      </c>
      <c r="BF28" s="41">
        <f t="shared" si="188"/>
        <v>12100.000000000002</v>
      </c>
      <c r="BG28" s="41">
        <f t="shared" si="188"/>
        <v>12100.000000000002</v>
      </c>
      <c r="BH28" s="41">
        <f t="shared" si="188"/>
        <v>12100.000000000002</v>
      </c>
      <c r="BI28" s="41">
        <f t="shared" si="188"/>
        <v>12100.000000000002</v>
      </c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</row>
    <row r="29" spans="1:85">
      <c r="A29" s="36" t="s">
        <v>176</v>
      </c>
      <c r="B29" s="41">
        <v>20000</v>
      </c>
      <c r="C29" s="41">
        <f>B29</f>
        <v>20000</v>
      </c>
      <c r="D29" s="41">
        <f t="shared" ref="D29:L29" si="189">C29</f>
        <v>20000</v>
      </c>
      <c r="E29" s="41">
        <f t="shared" si="189"/>
        <v>20000</v>
      </c>
      <c r="F29" s="41">
        <f t="shared" si="189"/>
        <v>20000</v>
      </c>
      <c r="G29" s="41">
        <f t="shared" si="189"/>
        <v>20000</v>
      </c>
      <c r="H29" s="41">
        <f t="shared" si="189"/>
        <v>20000</v>
      </c>
      <c r="I29" s="41">
        <f t="shared" si="189"/>
        <v>20000</v>
      </c>
      <c r="J29" s="41">
        <f t="shared" si="189"/>
        <v>20000</v>
      </c>
      <c r="K29" s="41">
        <f t="shared" si="189"/>
        <v>20000</v>
      </c>
      <c r="L29" s="41">
        <f t="shared" si="189"/>
        <v>20000</v>
      </c>
      <c r="M29" s="41">
        <f>L29</f>
        <v>20000</v>
      </c>
      <c r="N29" s="41">
        <f t="shared" ref="N29:N40" si="190">M29*(1+reajuste)</f>
        <v>22000</v>
      </c>
      <c r="O29" s="41">
        <f>N29</f>
        <v>22000</v>
      </c>
      <c r="P29" s="41">
        <f t="shared" ref="P29:Y29" si="191">O29</f>
        <v>22000</v>
      </c>
      <c r="Q29" s="41">
        <f t="shared" si="191"/>
        <v>22000</v>
      </c>
      <c r="R29" s="41">
        <f t="shared" si="191"/>
        <v>22000</v>
      </c>
      <c r="S29" s="41">
        <f t="shared" si="191"/>
        <v>22000</v>
      </c>
      <c r="T29" s="41">
        <f t="shared" si="191"/>
        <v>22000</v>
      </c>
      <c r="U29" s="41">
        <f t="shared" si="191"/>
        <v>22000</v>
      </c>
      <c r="V29" s="41">
        <f t="shared" si="191"/>
        <v>22000</v>
      </c>
      <c r="W29" s="41">
        <f t="shared" si="191"/>
        <v>22000</v>
      </c>
      <c r="X29" s="41">
        <f t="shared" si="191"/>
        <v>22000</v>
      </c>
      <c r="Y29" s="41">
        <f t="shared" si="191"/>
        <v>22000</v>
      </c>
      <c r="Z29" s="41">
        <f t="shared" ref="Z29:Z40" si="192">Y29*(1+reajuste)</f>
        <v>24200.000000000004</v>
      </c>
      <c r="AA29" s="41">
        <f>Z29</f>
        <v>24200.000000000004</v>
      </c>
      <c r="AB29" s="41">
        <f t="shared" ref="AB29:AK29" si="193">AA29</f>
        <v>24200.000000000004</v>
      </c>
      <c r="AC29" s="41">
        <f t="shared" si="193"/>
        <v>24200.000000000004</v>
      </c>
      <c r="AD29" s="41">
        <f t="shared" si="193"/>
        <v>24200.000000000004</v>
      </c>
      <c r="AE29" s="41">
        <f t="shared" si="193"/>
        <v>24200.000000000004</v>
      </c>
      <c r="AF29" s="41">
        <f t="shared" si="193"/>
        <v>24200.000000000004</v>
      </c>
      <c r="AG29" s="41">
        <f t="shared" si="193"/>
        <v>24200.000000000004</v>
      </c>
      <c r="AH29" s="41">
        <f t="shared" si="193"/>
        <v>24200.000000000004</v>
      </c>
      <c r="AI29" s="41">
        <f t="shared" si="193"/>
        <v>24200.000000000004</v>
      </c>
      <c r="AJ29" s="41">
        <f t="shared" si="193"/>
        <v>24200.000000000004</v>
      </c>
      <c r="AK29" s="41">
        <f t="shared" si="193"/>
        <v>24200.000000000004</v>
      </c>
      <c r="AL29" s="41">
        <f t="shared" si="187"/>
        <v>26620.000000000007</v>
      </c>
      <c r="AM29" s="41">
        <f>AL29</f>
        <v>26620.000000000007</v>
      </c>
      <c r="AN29" s="41">
        <f t="shared" ref="AN29:AY29" si="194">AM29</f>
        <v>26620.000000000007</v>
      </c>
      <c r="AO29" s="41">
        <f t="shared" si="194"/>
        <v>26620.000000000007</v>
      </c>
      <c r="AP29" s="41">
        <f t="shared" si="194"/>
        <v>26620.000000000007</v>
      </c>
      <c r="AQ29" s="41">
        <f t="shared" si="194"/>
        <v>26620.000000000007</v>
      </c>
      <c r="AR29" s="41">
        <f t="shared" si="194"/>
        <v>26620.000000000007</v>
      </c>
      <c r="AS29" s="41">
        <f t="shared" si="194"/>
        <v>26620.000000000007</v>
      </c>
      <c r="AT29" s="41">
        <f t="shared" si="194"/>
        <v>26620.000000000007</v>
      </c>
      <c r="AU29" s="41">
        <f t="shared" si="194"/>
        <v>26620.000000000007</v>
      </c>
      <c r="AV29" s="41">
        <f t="shared" si="194"/>
        <v>26620.000000000007</v>
      </c>
      <c r="AW29" s="41">
        <f t="shared" si="194"/>
        <v>26620.000000000007</v>
      </c>
      <c r="AX29" s="41">
        <f t="shared" ref="AX29:AX40" si="195">AW29*(1+reajuste)</f>
        <v>29282.000000000011</v>
      </c>
      <c r="AY29" s="41">
        <f t="shared" si="194"/>
        <v>29282.000000000011</v>
      </c>
      <c r="AZ29" s="41">
        <f t="shared" ref="AZ29:BI29" si="196">AY29</f>
        <v>29282.000000000011</v>
      </c>
      <c r="BA29" s="41">
        <f t="shared" si="196"/>
        <v>29282.000000000011</v>
      </c>
      <c r="BB29" s="41">
        <f t="shared" si="196"/>
        <v>29282.000000000011</v>
      </c>
      <c r="BC29" s="41">
        <f t="shared" si="196"/>
        <v>29282.000000000011</v>
      </c>
      <c r="BD29" s="41">
        <f t="shared" si="196"/>
        <v>29282.000000000011</v>
      </c>
      <c r="BE29" s="41">
        <f t="shared" si="196"/>
        <v>29282.000000000011</v>
      </c>
      <c r="BF29" s="41">
        <f t="shared" si="196"/>
        <v>29282.000000000011</v>
      </c>
      <c r="BG29" s="41">
        <f t="shared" si="196"/>
        <v>29282.000000000011</v>
      </c>
      <c r="BH29" s="41">
        <f t="shared" si="196"/>
        <v>29282.000000000011</v>
      </c>
      <c r="BI29" s="121">
        <f t="shared" si="196"/>
        <v>29282.000000000011</v>
      </c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</row>
    <row r="30" spans="1:85">
      <c r="A30" s="36" t="s">
        <v>180</v>
      </c>
      <c r="B30" s="41">
        <v>3000</v>
      </c>
      <c r="C30" s="41">
        <f>B30</f>
        <v>3000</v>
      </c>
      <c r="D30" s="41">
        <f t="shared" ref="D30:L30" si="197">C30</f>
        <v>3000</v>
      </c>
      <c r="E30" s="41">
        <f t="shared" si="197"/>
        <v>3000</v>
      </c>
      <c r="F30" s="41">
        <f t="shared" si="197"/>
        <v>3000</v>
      </c>
      <c r="G30" s="41">
        <f t="shared" si="197"/>
        <v>3000</v>
      </c>
      <c r="H30" s="41">
        <f t="shared" si="197"/>
        <v>3000</v>
      </c>
      <c r="I30" s="41">
        <f t="shared" si="197"/>
        <v>3000</v>
      </c>
      <c r="J30" s="41">
        <f t="shared" si="197"/>
        <v>3000</v>
      </c>
      <c r="K30" s="41">
        <f t="shared" si="197"/>
        <v>3000</v>
      </c>
      <c r="L30" s="41">
        <f t="shared" si="197"/>
        <v>3000</v>
      </c>
      <c r="M30" s="41">
        <f>L30</f>
        <v>3000</v>
      </c>
      <c r="N30" s="41">
        <f t="shared" si="190"/>
        <v>3300.0000000000005</v>
      </c>
      <c r="O30" s="41">
        <f t="shared" ref="O30:Y40" si="198">N30</f>
        <v>3300.0000000000005</v>
      </c>
      <c r="P30" s="41">
        <f t="shared" si="198"/>
        <v>3300.0000000000005</v>
      </c>
      <c r="Q30" s="41">
        <f t="shared" si="198"/>
        <v>3300.0000000000005</v>
      </c>
      <c r="R30" s="41">
        <f t="shared" si="198"/>
        <v>3300.0000000000005</v>
      </c>
      <c r="S30" s="41">
        <f t="shared" si="198"/>
        <v>3300.0000000000005</v>
      </c>
      <c r="T30" s="41">
        <f t="shared" si="198"/>
        <v>3300.0000000000005</v>
      </c>
      <c r="U30" s="41">
        <f t="shared" si="198"/>
        <v>3300.0000000000005</v>
      </c>
      <c r="V30" s="41">
        <f t="shared" si="198"/>
        <v>3300.0000000000005</v>
      </c>
      <c r="W30" s="41">
        <f t="shared" si="198"/>
        <v>3300.0000000000005</v>
      </c>
      <c r="X30" s="41">
        <f t="shared" si="198"/>
        <v>3300.0000000000005</v>
      </c>
      <c r="Y30" s="41">
        <f t="shared" si="198"/>
        <v>3300.0000000000005</v>
      </c>
      <c r="Z30" s="41">
        <f t="shared" si="192"/>
        <v>3630.0000000000009</v>
      </c>
      <c r="AA30" s="41">
        <f t="shared" ref="AA30:AK40" si="199">Z30</f>
        <v>3630.0000000000009</v>
      </c>
      <c r="AB30" s="41">
        <f t="shared" si="199"/>
        <v>3630.0000000000009</v>
      </c>
      <c r="AC30" s="41">
        <f t="shared" si="199"/>
        <v>3630.0000000000009</v>
      </c>
      <c r="AD30" s="41">
        <f t="shared" si="199"/>
        <v>3630.0000000000009</v>
      </c>
      <c r="AE30" s="41">
        <f t="shared" si="199"/>
        <v>3630.0000000000009</v>
      </c>
      <c r="AF30" s="41">
        <f t="shared" si="199"/>
        <v>3630.0000000000009</v>
      </c>
      <c r="AG30" s="41">
        <f t="shared" si="199"/>
        <v>3630.0000000000009</v>
      </c>
      <c r="AH30" s="41">
        <f t="shared" si="199"/>
        <v>3630.0000000000009</v>
      </c>
      <c r="AI30" s="41">
        <f t="shared" si="199"/>
        <v>3630.0000000000009</v>
      </c>
      <c r="AJ30" s="41">
        <f t="shared" si="199"/>
        <v>3630.0000000000009</v>
      </c>
      <c r="AK30" s="41">
        <f t="shared" si="199"/>
        <v>3630.0000000000009</v>
      </c>
      <c r="AL30" s="41">
        <f t="shared" si="187"/>
        <v>3993.0000000000014</v>
      </c>
      <c r="AM30" s="41">
        <f t="shared" ref="AM30:AY40" si="200">AL30</f>
        <v>3993.0000000000014</v>
      </c>
      <c r="AN30" s="41">
        <f t="shared" si="200"/>
        <v>3993.0000000000014</v>
      </c>
      <c r="AO30" s="41">
        <f t="shared" si="200"/>
        <v>3993.0000000000014</v>
      </c>
      <c r="AP30" s="41">
        <f t="shared" si="200"/>
        <v>3993.0000000000014</v>
      </c>
      <c r="AQ30" s="41">
        <f t="shared" si="200"/>
        <v>3993.0000000000014</v>
      </c>
      <c r="AR30" s="41">
        <f t="shared" si="200"/>
        <v>3993.0000000000014</v>
      </c>
      <c r="AS30" s="41">
        <f t="shared" si="200"/>
        <v>3993.0000000000014</v>
      </c>
      <c r="AT30" s="41">
        <f t="shared" si="200"/>
        <v>3993.0000000000014</v>
      </c>
      <c r="AU30" s="41">
        <f t="shared" si="200"/>
        <v>3993.0000000000014</v>
      </c>
      <c r="AV30" s="41">
        <f t="shared" si="200"/>
        <v>3993.0000000000014</v>
      </c>
      <c r="AW30" s="41">
        <f t="shared" si="200"/>
        <v>3993.0000000000014</v>
      </c>
      <c r="AX30" s="41">
        <f t="shared" si="195"/>
        <v>4392.300000000002</v>
      </c>
      <c r="AY30" s="41">
        <f t="shared" si="200"/>
        <v>4392.300000000002</v>
      </c>
      <c r="AZ30" s="41">
        <f t="shared" ref="AZ30:BI30" si="201">AY30</f>
        <v>4392.300000000002</v>
      </c>
      <c r="BA30" s="41">
        <f t="shared" si="201"/>
        <v>4392.300000000002</v>
      </c>
      <c r="BB30" s="41">
        <f t="shared" si="201"/>
        <v>4392.300000000002</v>
      </c>
      <c r="BC30" s="41">
        <f t="shared" si="201"/>
        <v>4392.300000000002</v>
      </c>
      <c r="BD30" s="41">
        <f t="shared" si="201"/>
        <v>4392.300000000002</v>
      </c>
      <c r="BE30" s="41">
        <f t="shared" si="201"/>
        <v>4392.300000000002</v>
      </c>
      <c r="BF30" s="41">
        <f t="shared" si="201"/>
        <v>4392.300000000002</v>
      </c>
      <c r="BG30" s="41">
        <f t="shared" si="201"/>
        <v>4392.300000000002</v>
      </c>
      <c r="BH30" s="41">
        <f t="shared" si="201"/>
        <v>4392.300000000002</v>
      </c>
      <c r="BI30" s="121">
        <f t="shared" si="201"/>
        <v>4392.300000000002</v>
      </c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</row>
    <row r="31" spans="1:85">
      <c r="A31" s="36" t="s">
        <v>99</v>
      </c>
      <c r="B31" s="41">
        <v>1500</v>
      </c>
      <c r="C31" s="41">
        <f>B31</f>
        <v>1500</v>
      </c>
      <c r="D31" s="41">
        <f t="shared" ref="D31:L31" si="202">C31</f>
        <v>1500</v>
      </c>
      <c r="E31" s="41">
        <f t="shared" si="202"/>
        <v>1500</v>
      </c>
      <c r="F31" s="41">
        <f t="shared" si="202"/>
        <v>1500</v>
      </c>
      <c r="G31" s="41">
        <f t="shared" si="202"/>
        <v>1500</v>
      </c>
      <c r="H31" s="41">
        <f t="shared" si="202"/>
        <v>1500</v>
      </c>
      <c r="I31" s="41">
        <f t="shared" si="202"/>
        <v>1500</v>
      </c>
      <c r="J31" s="41">
        <f t="shared" si="202"/>
        <v>1500</v>
      </c>
      <c r="K31" s="41">
        <f t="shared" si="202"/>
        <v>1500</v>
      </c>
      <c r="L31" s="41">
        <f t="shared" si="202"/>
        <v>1500</v>
      </c>
      <c r="M31" s="41">
        <f>L31</f>
        <v>1500</v>
      </c>
      <c r="N31" s="41">
        <f t="shared" si="190"/>
        <v>1650.0000000000002</v>
      </c>
      <c r="O31" s="41">
        <f t="shared" si="198"/>
        <v>1650.0000000000002</v>
      </c>
      <c r="P31" s="41">
        <f t="shared" si="198"/>
        <v>1650.0000000000002</v>
      </c>
      <c r="Q31" s="41">
        <f t="shared" si="198"/>
        <v>1650.0000000000002</v>
      </c>
      <c r="R31" s="41">
        <f t="shared" si="198"/>
        <v>1650.0000000000002</v>
      </c>
      <c r="S31" s="41">
        <f t="shared" si="198"/>
        <v>1650.0000000000002</v>
      </c>
      <c r="T31" s="41">
        <f t="shared" si="198"/>
        <v>1650.0000000000002</v>
      </c>
      <c r="U31" s="41">
        <f t="shared" si="198"/>
        <v>1650.0000000000002</v>
      </c>
      <c r="V31" s="41">
        <f t="shared" si="198"/>
        <v>1650.0000000000002</v>
      </c>
      <c r="W31" s="41">
        <f t="shared" si="198"/>
        <v>1650.0000000000002</v>
      </c>
      <c r="X31" s="41">
        <f t="shared" si="198"/>
        <v>1650.0000000000002</v>
      </c>
      <c r="Y31" s="41">
        <f t="shared" si="198"/>
        <v>1650.0000000000002</v>
      </c>
      <c r="Z31" s="41">
        <f t="shared" si="192"/>
        <v>1815.0000000000005</v>
      </c>
      <c r="AA31" s="41">
        <f t="shared" si="199"/>
        <v>1815.0000000000005</v>
      </c>
      <c r="AB31" s="41">
        <f t="shared" si="199"/>
        <v>1815.0000000000005</v>
      </c>
      <c r="AC31" s="41">
        <f t="shared" si="199"/>
        <v>1815.0000000000005</v>
      </c>
      <c r="AD31" s="41">
        <f t="shared" si="199"/>
        <v>1815.0000000000005</v>
      </c>
      <c r="AE31" s="41">
        <f t="shared" si="199"/>
        <v>1815.0000000000005</v>
      </c>
      <c r="AF31" s="41">
        <f t="shared" si="199"/>
        <v>1815.0000000000005</v>
      </c>
      <c r="AG31" s="41">
        <f t="shared" si="199"/>
        <v>1815.0000000000005</v>
      </c>
      <c r="AH31" s="41">
        <f t="shared" si="199"/>
        <v>1815.0000000000005</v>
      </c>
      <c r="AI31" s="41">
        <f t="shared" si="199"/>
        <v>1815.0000000000005</v>
      </c>
      <c r="AJ31" s="41">
        <f t="shared" si="199"/>
        <v>1815.0000000000005</v>
      </c>
      <c r="AK31" s="41">
        <f t="shared" si="199"/>
        <v>1815.0000000000005</v>
      </c>
      <c r="AL31" s="41">
        <f t="shared" si="187"/>
        <v>1996.5000000000007</v>
      </c>
      <c r="AM31" s="41">
        <f t="shared" si="200"/>
        <v>1996.5000000000007</v>
      </c>
      <c r="AN31" s="41">
        <f t="shared" si="200"/>
        <v>1996.5000000000007</v>
      </c>
      <c r="AO31" s="41">
        <f t="shared" si="200"/>
        <v>1996.5000000000007</v>
      </c>
      <c r="AP31" s="41">
        <f t="shared" si="200"/>
        <v>1996.5000000000007</v>
      </c>
      <c r="AQ31" s="41">
        <f t="shared" si="200"/>
        <v>1996.5000000000007</v>
      </c>
      <c r="AR31" s="41">
        <f t="shared" si="200"/>
        <v>1996.5000000000007</v>
      </c>
      <c r="AS31" s="41">
        <f t="shared" si="200"/>
        <v>1996.5000000000007</v>
      </c>
      <c r="AT31" s="41">
        <f t="shared" si="200"/>
        <v>1996.5000000000007</v>
      </c>
      <c r="AU31" s="41">
        <f t="shared" si="200"/>
        <v>1996.5000000000007</v>
      </c>
      <c r="AV31" s="41">
        <f t="shared" si="200"/>
        <v>1996.5000000000007</v>
      </c>
      <c r="AW31" s="41">
        <f t="shared" si="200"/>
        <v>1996.5000000000007</v>
      </c>
      <c r="AX31" s="41">
        <f t="shared" si="195"/>
        <v>2196.150000000001</v>
      </c>
      <c r="AY31" s="41">
        <f t="shared" si="200"/>
        <v>2196.150000000001</v>
      </c>
      <c r="AZ31" s="41">
        <f t="shared" ref="AZ31:BI31" si="203">AY31</f>
        <v>2196.150000000001</v>
      </c>
      <c r="BA31" s="41">
        <f t="shared" si="203"/>
        <v>2196.150000000001</v>
      </c>
      <c r="BB31" s="41">
        <f t="shared" si="203"/>
        <v>2196.150000000001</v>
      </c>
      <c r="BC31" s="41">
        <f t="shared" si="203"/>
        <v>2196.150000000001</v>
      </c>
      <c r="BD31" s="41">
        <f t="shared" si="203"/>
        <v>2196.150000000001</v>
      </c>
      <c r="BE31" s="41">
        <f t="shared" si="203"/>
        <v>2196.150000000001</v>
      </c>
      <c r="BF31" s="41">
        <f t="shared" si="203"/>
        <v>2196.150000000001</v>
      </c>
      <c r="BG31" s="41">
        <f t="shared" si="203"/>
        <v>2196.150000000001</v>
      </c>
      <c r="BH31" s="41">
        <f t="shared" si="203"/>
        <v>2196.150000000001</v>
      </c>
      <c r="BI31" s="121">
        <f t="shared" si="203"/>
        <v>2196.150000000001</v>
      </c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</row>
    <row r="32" spans="1:85">
      <c r="A32" s="34" t="s">
        <v>173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>
        <f t="shared" si="190"/>
        <v>0</v>
      </c>
      <c r="O32" s="41">
        <f t="shared" si="198"/>
        <v>0</v>
      </c>
      <c r="P32" s="41">
        <f t="shared" si="198"/>
        <v>0</v>
      </c>
      <c r="Q32" s="41">
        <f t="shared" si="198"/>
        <v>0</v>
      </c>
      <c r="R32" s="41">
        <f t="shared" si="198"/>
        <v>0</v>
      </c>
      <c r="S32" s="41">
        <f t="shared" si="198"/>
        <v>0</v>
      </c>
      <c r="T32" s="41">
        <f t="shared" si="198"/>
        <v>0</v>
      </c>
      <c r="U32" s="41">
        <f t="shared" si="198"/>
        <v>0</v>
      </c>
      <c r="V32" s="41">
        <f t="shared" si="198"/>
        <v>0</v>
      </c>
      <c r="W32" s="41">
        <f t="shared" si="198"/>
        <v>0</v>
      </c>
      <c r="X32" s="41">
        <f t="shared" si="198"/>
        <v>0</v>
      </c>
      <c r="Y32" s="41">
        <f t="shared" si="198"/>
        <v>0</v>
      </c>
      <c r="Z32" s="41">
        <f t="shared" si="192"/>
        <v>0</v>
      </c>
      <c r="AA32" s="41">
        <f t="shared" si="199"/>
        <v>0</v>
      </c>
      <c r="AB32" s="41">
        <f t="shared" si="199"/>
        <v>0</v>
      </c>
      <c r="AC32" s="41">
        <f t="shared" si="199"/>
        <v>0</v>
      </c>
      <c r="AD32" s="41">
        <f t="shared" si="199"/>
        <v>0</v>
      </c>
      <c r="AE32" s="41">
        <f t="shared" si="199"/>
        <v>0</v>
      </c>
      <c r="AF32" s="41">
        <f t="shared" si="199"/>
        <v>0</v>
      </c>
      <c r="AG32" s="41">
        <f t="shared" si="199"/>
        <v>0</v>
      </c>
      <c r="AH32" s="41">
        <f t="shared" si="199"/>
        <v>0</v>
      </c>
      <c r="AI32" s="41">
        <f t="shared" si="199"/>
        <v>0</v>
      </c>
      <c r="AJ32" s="41">
        <f t="shared" si="199"/>
        <v>0</v>
      </c>
      <c r="AK32" s="41">
        <f t="shared" si="199"/>
        <v>0</v>
      </c>
      <c r="AL32" s="41">
        <f t="shared" si="187"/>
        <v>0</v>
      </c>
      <c r="AM32" s="41">
        <f t="shared" si="200"/>
        <v>0</v>
      </c>
      <c r="AN32" s="41">
        <f t="shared" si="200"/>
        <v>0</v>
      </c>
      <c r="AO32" s="41">
        <f t="shared" si="200"/>
        <v>0</v>
      </c>
      <c r="AP32" s="41">
        <f t="shared" si="200"/>
        <v>0</v>
      </c>
      <c r="AQ32" s="41">
        <f t="shared" si="200"/>
        <v>0</v>
      </c>
      <c r="AR32" s="41">
        <f t="shared" si="200"/>
        <v>0</v>
      </c>
      <c r="AS32" s="41">
        <f t="shared" si="200"/>
        <v>0</v>
      </c>
      <c r="AT32" s="41">
        <f t="shared" si="200"/>
        <v>0</v>
      </c>
      <c r="AU32" s="41">
        <f t="shared" si="200"/>
        <v>0</v>
      </c>
      <c r="AV32" s="41">
        <f t="shared" si="200"/>
        <v>0</v>
      </c>
      <c r="AW32" s="41">
        <f t="shared" si="200"/>
        <v>0</v>
      </c>
      <c r="AX32" s="41">
        <f t="shared" si="195"/>
        <v>0</v>
      </c>
      <c r="AY32" s="41">
        <f t="shared" si="200"/>
        <v>0</v>
      </c>
      <c r="AZ32" s="41">
        <f t="shared" ref="AZ32:BI32" si="204">AY32</f>
        <v>0</v>
      </c>
      <c r="BA32" s="41">
        <f t="shared" si="204"/>
        <v>0</v>
      </c>
      <c r="BB32" s="41">
        <f t="shared" si="204"/>
        <v>0</v>
      </c>
      <c r="BC32" s="41">
        <f t="shared" si="204"/>
        <v>0</v>
      </c>
      <c r="BD32" s="41">
        <f t="shared" si="204"/>
        <v>0</v>
      </c>
      <c r="BE32" s="41">
        <f t="shared" si="204"/>
        <v>0</v>
      </c>
      <c r="BF32" s="41">
        <f t="shared" si="204"/>
        <v>0</v>
      </c>
      <c r="BG32" s="41">
        <f t="shared" si="204"/>
        <v>0</v>
      </c>
      <c r="BH32" s="41">
        <f t="shared" si="204"/>
        <v>0</v>
      </c>
      <c r="BI32" s="121">
        <f t="shared" si="204"/>
        <v>0</v>
      </c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</row>
    <row r="33" spans="1:85">
      <c r="A33" s="36" t="s">
        <v>178</v>
      </c>
      <c r="B33" s="41">
        <v>20000</v>
      </c>
      <c r="C33" s="41">
        <f>B33</f>
        <v>20000</v>
      </c>
      <c r="D33" s="41">
        <f t="shared" ref="D33:L33" si="205">C33</f>
        <v>20000</v>
      </c>
      <c r="E33" s="41">
        <f t="shared" si="205"/>
        <v>20000</v>
      </c>
      <c r="F33" s="41">
        <f t="shared" si="205"/>
        <v>20000</v>
      </c>
      <c r="G33" s="41">
        <f t="shared" si="205"/>
        <v>20000</v>
      </c>
      <c r="H33" s="41">
        <f t="shared" si="205"/>
        <v>20000</v>
      </c>
      <c r="I33" s="41">
        <f t="shared" si="205"/>
        <v>20000</v>
      </c>
      <c r="J33" s="41">
        <f t="shared" si="205"/>
        <v>20000</v>
      </c>
      <c r="K33" s="41">
        <f t="shared" si="205"/>
        <v>20000</v>
      </c>
      <c r="L33" s="41">
        <f t="shared" si="205"/>
        <v>20000</v>
      </c>
      <c r="M33" s="41">
        <f>L33</f>
        <v>20000</v>
      </c>
      <c r="N33" s="41">
        <f t="shared" si="190"/>
        <v>22000</v>
      </c>
      <c r="O33" s="41">
        <f t="shared" si="198"/>
        <v>22000</v>
      </c>
      <c r="P33" s="41">
        <f t="shared" si="198"/>
        <v>22000</v>
      </c>
      <c r="Q33" s="41">
        <f t="shared" si="198"/>
        <v>22000</v>
      </c>
      <c r="R33" s="41">
        <f t="shared" si="198"/>
        <v>22000</v>
      </c>
      <c r="S33" s="41">
        <f t="shared" si="198"/>
        <v>22000</v>
      </c>
      <c r="T33" s="41">
        <f t="shared" si="198"/>
        <v>22000</v>
      </c>
      <c r="U33" s="41">
        <f t="shared" si="198"/>
        <v>22000</v>
      </c>
      <c r="V33" s="41">
        <f t="shared" si="198"/>
        <v>22000</v>
      </c>
      <c r="W33" s="41">
        <f t="shared" si="198"/>
        <v>22000</v>
      </c>
      <c r="X33" s="41">
        <f t="shared" si="198"/>
        <v>22000</v>
      </c>
      <c r="Y33" s="41">
        <f t="shared" si="198"/>
        <v>22000</v>
      </c>
      <c r="Z33" s="41">
        <f t="shared" si="192"/>
        <v>24200.000000000004</v>
      </c>
      <c r="AA33" s="41">
        <f t="shared" si="199"/>
        <v>24200.000000000004</v>
      </c>
      <c r="AB33" s="41">
        <f t="shared" si="199"/>
        <v>24200.000000000004</v>
      </c>
      <c r="AC33" s="41">
        <f t="shared" si="199"/>
        <v>24200.000000000004</v>
      </c>
      <c r="AD33" s="41">
        <f t="shared" si="199"/>
        <v>24200.000000000004</v>
      </c>
      <c r="AE33" s="41">
        <f t="shared" si="199"/>
        <v>24200.000000000004</v>
      </c>
      <c r="AF33" s="41">
        <f t="shared" si="199"/>
        <v>24200.000000000004</v>
      </c>
      <c r="AG33" s="41">
        <f t="shared" si="199"/>
        <v>24200.000000000004</v>
      </c>
      <c r="AH33" s="41">
        <f t="shared" si="199"/>
        <v>24200.000000000004</v>
      </c>
      <c r="AI33" s="41">
        <f t="shared" si="199"/>
        <v>24200.000000000004</v>
      </c>
      <c r="AJ33" s="41">
        <f t="shared" si="199"/>
        <v>24200.000000000004</v>
      </c>
      <c r="AK33" s="41">
        <f t="shared" si="199"/>
        <v>24200.000000000004</v>
      </c>
      <c r="AL33" s="41">
        <f t="shared" si="187"/>
        <v>26620.000000000007</v>
      </c>
      <c r="AM33" s="41">
        <f t="shared" si="200"/>
        <v>26620.000000000007</v>
      </c>
      <c r="AN33" s="41">
        <f t="shared" si="200"/>
        <v>26620.000000000007</v>
      </c>
      <c r="AO33" s="41">
        <f t="shared" si="200"/>
        <v>26620.000000000007</v>
      </c>
      <c r="AP33" s="41">
        <f t="shared" si="200"/>
        <v>26620.000000000007</v>
      </c>
      <c r="AQ33" s="41">
        <f t="shared" si="200"/>
        <v>26620.000000000007</v>
      </c>
      <c r="AR33" s="41">
        <f t="shared" si="200"/>
        <v>26620.000000000007</v>
      </c>
      <c r="AS33" s="41">
        <f t="shared" si="200"/>
        <v>26620.000000000007</v>
      </c>
      <c r="AT33" s="41">
        <f t="shared" si="200"/>
        <v>26620.000000000007</v>
      </c>
      <c r="AU33" s="41">
        <f t="shared" si="200"/>
        <v>26620.000000000007</v>
      </c>
      <c r="AV33" s="41">
        <f t="shared" si="200"/>
        <v>26620.000000000007</v>
      </c>
      <c r="AW33" s="41">
        <f t="shared" si="200"/>
        <v>26620.000000000007</v>
      </c>
      <c r="AX33" s="41">
        <f t="shared" si="195"/>
        <v>29282.000000000011</v>
      </c>
      <c r="AY33" s="41">
        <f t="shared" si="200"/>
        <v>29282.000000000011</v>
      </c>
      <c r="AZ33" s="41">
        <f t="shared" ref="AZ33:BI33" si="206">AY33</f>
        <v>29282.000000000011</v>
      </c>
      <c r="BA33" s="41">
        <f t="shared" si="206"/>
        <v>29282.000000000011</v>
      </c>
      <c r="BB33" s="41">
        <f t="shared" si="206"/>
        <v>29282.000000000011</v>
      </c>
      <c r="BC33" s="41">
        <f t="shared" si="206"/>
        <v>29282.000000000011</v>
      </c>
      <c r="BD33" s="41">
        <f t="shared" si="206"/>
        <v>29282.000000000011</v>
      </c>
      <c r="BE33" s="41">
        <f t="shared" si="206"/>
        <v>29282.000000000011</v>
      </c>
      <c r="BF33" s="41">
        <f t="shared" si="206"/>
        <v>29282.000000000011</v>
      </c>
      <c r="BG33" s="41">
        <f t="shared" si="206"/>
        <v>29282.000000000011</v>
      </c>
      <c r="BH33" s="41">
        <f t="shared" si="206"/>
        <v>29282.000000000011</v>
      </c>
      <c r="BI33" s="121">
        <f t="shared" si="206"/>
        <v>29282.000000000011</v>
      </c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</row>
    <row r="34" spans="1:85">
      <c r="A34" s="36" t="s">
        <v>181</v>
      </c>
      <c r="B34" s="41">
        <v>7000</v>
      </c>
      <c r="C34" s="41">
        <f>B34</f>
        <v>7000</v>
      </c>
      <c r="D34" s="41">
        <f t="shared" ref="D34:L34" si="207">C34</f>
        <v>7000</v>
      </c>
      <c r="E34" s="41">
        <f t="shared" si="207"/>
        <v>7000</v>
      </c>
      <c r="F34" s="41">
        <f t="shared" si="207"/>
        <v>7000</v>
      </c>
      <c r="G34" s="41">
        <f t="shared" si="207"/>
        <v>7000</v>
      </c>
      <c r="H34" s="41">
        <f t="shared" si="207"/>
        <v>7000</v>
      </c>
      <c r="I34" s="41">
        <f t="shared" si="207"/>
        <v>7000</v>
      </c>
      <c r="J34" s="41">
        <f t="shared" si="207"/>
        <v>7000</v>
      </c>
      <c r="K34" s="41">
        <f t="shared" si="207"/>
        <v>7000</v>
      </c>
      <c r="L34" s="41">
        <f t="shared" si="207"/>
        <v>7000</v>
      </c>
      <c r="M34" s="41">
        <f>L34</f>
        <v>7000</v>
      </c>
      <c r="N34" s="41">
        <f t="shared" si="190"/>
        <v>7700.0000000000009</v>
      </c>
      <c r="O34" s="41">
        <f t="shared" si="198"/>
        <v>7700.0000000000009</v>
      </c>
      <c r="P34" s="41">
        <f t="shared" si="198"/>
        <v>7700.0000000000009</v>
      </c>
      <c r="Q34" s="41">
        <f t="shared" si="198"/>
        <v>7700.0000000000009</v>
      </c>
      <c r="R34" s="41">
        <f t="shared" si="198"/>
        <v>7700.0000000000009</v>
      </c>
      <c r="S34" s="41">
        <f t="shared" si="198"/>
        <v>7700.0000000000009</v>
      </c>
      <c r="T34" s="41">
        <f t="shared" si="198"/>
        <v>7700.0000000000009</v>
      </c>
      <c r="U34" s="41">
        <f t="shared" si="198"/>
        <v>7700.0000000000009</v>
      </c>
      <c r="V34" s="41">
        <f t="shared" si="198"/>
        <v>7700.0000000000009</v>
      </c>
      <c r="W34" s="41">
        <f t="shared" si="198"/>
        <v>7700.0000000000009</v>
      </c>
      <c r="X34" s="41">
        <f t="shared" si="198"/>
        <v>7700.0000000000009</v>
      </c>
      <c r="Y34" s="41">
        <f t="shared" si="198"/>
        <v>7700.0000000000009</v>
      </c>
      <c r="Z34" s="41">
        <f t="shared" si="192"/>
        <v>8470.0000000000018</v>
      </c>
      <c r="AA34" s="41">
        <f t="shared" si="199"/>
        <v>8470.0000000000018</v>
      </c>
      <c r="AB34" s="41">
        <f t="shared" si="199"/>
        <v>8470.0000000000018</v>
      </c>
      <c r="AC34" s="41">
        <f t="shared" si="199"/>
        <v>8470.0000000000018</v>
      </c>
      <c r="AD34" s="41">
        <f t="shared" si="199"/>
        <v>8470.0000000000018</v>
      </c>
      <c r="AE34" s="41">
        <f t="shared" si="199"/>
        <v>8470.0000000000018</v>
      </c>
      <c r="AF34" s="41">
        <f t="shared" si="199"/>
        <v>8470.0000000000018</v>
      </c>
      <c r="AG34" s="41">
        <f t="shared" si="199"/>
        <v>8470.0000000000018</v>
      </c>
      <c r="AH34" s="41">
        <f t="shared" si="199"/>
        <v>8470.0000000000018</v>
      </c>
      <c r="AI34" s="41">
        <f t="shared" si="199"/>
        <v>8470.0000000000018</v>
      </c>
      <c r="AJ34" s="41">
        <f t="shared" si="199"/>
        <v>8470.0000000000018</v>
      </c>
      <c r="AK34" s="41">
        <f t="shared" si="199"/>
        <v>8470.0000000000018</v>
      </c>
      <c r="AL34" s="41">
        <f t="shared" si="187"/>
        <v>9317.0000000000036</v>
      </c>
      <c r="AM34" s="41">
        <f t="shared" si="200"/>
        <v>9317.0000000000036</v>
      </c>
      <c r="AN34" s="41">
        <f t="shared" si="200"/>
        <v>9317.0000000000036</v>
      </c>
      <c r="AO34" s="41">
        <f t="shared" si="200"/>
        <v>9317.0000000000036</v>
      </c>
      <c r="AP34" s="41">
        <f t="shared" si="200"/>
        <v>9317.0000000000036</v>
      </c>
      <c r="AQ34" s="41">
        <f t="shared" si="200"/>
        <v>9317.0000000000036</v>
      </c>
      <c r="AR34" s="41">
        <f t="shared" si="200"/>
        <v>9317.0000000000036</v>
      </c>
      <c r="AS34" s="41">
        <f t="shared" si="200"/>
        <v>9317.0000000000036</v>
      </c>
      <c r="AT34" s="41">
        <f t="shared" si="200"/>
        <v>9317.0000000000036</v>
      </c>
      <c r="AU34" s="41">
        <f t="shared" si="200"/>
        <v>9317.0000000000036</v>
      </c>
      <c r="AV34" s="41">
        <f t="shared" si="200"/>
        <v>9317.0000000000036</v>
      </c>
      <c r="AW34" s="41">
        <f t="shared" si="200"/>
        <v>9317.0000000000036</v>
      </c>
      <c r="AX34" s="41">
        <f t="shared" si="195"/>
        <v>10248.700000000004</v>
      </c>
      <c r="AY34" s="41">
        <f t="shared" si="200"/>
        <v>10248.700000000004</v>
      </c>
      <c r="AZ34" s="41">
        <f t="shared" ref="AZ34:BI34" si="208">AY34</f>
        <v>10248.700000000004</v>
      </c>
      <c r="BA34" s="41">
        <f t="shared" si="208"/>
        <v>10248.700000000004</v>
      </c>
      <c r="BB34" s="41">
        <f t="shared" si="208"/>
        <v>10248.700000000004</v>
      </c>
      <c r="BC34" s="41">
        <f t="shared" si="208"/>
        <v>10248.700000000004</v>
      </c>
      <c r="BD34" s="41">
        <f t="shared" si="208"/>
        <v>10248.700000000004</v>
      </c>
      <c r="BE34" s="41">
        <f t="shared" si="208"/>
        <v>10248.700000000004</v>
      </c>
      <c r="BF34" s="41">
        <f t="shared" si="208"/>
        <v>10248.700000000004</v>
      </c>
      <c r="BG34" s="41">
        <f t="shared" si="208"/>
        <v>10248.700000000004</v>
      </c>
      <c r="BH34" s="41">
        <f t="shared" si="208"/>
        <v>10248.700000000004</v>
      </c>
      <c r="BI34" s="121">
        <f t="shared" si="208"/>
        <v>10248.700000000004</v>
      </c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</row>
    <row r="35" spans="1:85">
      <c r="A35" s="36" t="s">
        <v>72</v>
      </c>
      <c r="B35" s="41">
        <v>3000</v>
      </c>
      <c r="C35" s="41">
        <f>B35</f>
        <v>3000</v>
      </c>
      <c r="D35" s="41">
        <f t="shared" ref="D35:L35" si="209">C35</f>
        <v>3000</v>
      </c>
      <c r="E35" s="41">
        <f t="shared" si="209"/>
        <v>3000</v>
      </c>
      <c r="F35" s="41">
        <f t="shared" si="209"/>
        <v>3000</v>
      </c>
      <c r="G35" s="41">
        <f t="shared" si="209"/>
        <v>3000</v>
      </c>
      <c r="H35" s="41">
        <f t="shared" si="209"/>
        <v>3000</v>
      </c>
      <c r="I35" s="41">
        <f t="shared" si="209"/>
        <v>3000</v>
      </c>
      <c r="J35" s="41">
        <f t="shared" si="209"/>
        <v>3000</v>
      </c>
      <c r="K35" s="41">
        <f t="shared" si="209"/>
        <v>3000</v>
      </c>
      <c r="L35" s="41">
        <f t="shared" si="209"/>
        <v>3000</v>
      </c>
      <c r="M35" s="41">
        <f>L35</f>
        <v>3000</v>
      </c>
      <c r="N35" s="41">
        <f t="shared" si="190"/>
        <v>3300.0000000000005</v>
      </c>
      <c r="O35" s="41">
        <f t="shared" si="198"/>
        <v>3300.0000000000005</v>
      </c>
      <c r="P35" s="41">
        <f t="shared" si="198"/>
        <v>3300.0000000000005</v>
      </c>
      <c r="Q35" s="41">
        <f t="shared" si="198"/>
        <v>3300.0000000000005</v>
      </c>
      <c r="R35" s="41">
        <f t="shared" si="198"/>
        <v>3300.0000000000005</v>
      </c>
      <c r="S35" s="41">
        <f t="shared" si="198"/>
        <v>3300.0000000000005</v>
      </c>
      <c r="T35" s="41">
        <f t="shared" si="198"/>
        <v>3300.0000000000005</v>
      </c>
      <c r="U35" s="41">
        <f t="shared" si="198"/>
        <v>3300.0000000000005</v>
      </c>
      <c r="V35" s="41">
        <f t="shared" si="198"/>
        <v>3300.0000000000005</v>
      </c>
      <c r="W35" s="41">
        <f t="shared" si="198"/>
        <v>3300.0000000000005</v>
      </c>
      <c r="X35" s="41">
        <f t="shared" si="198"/>
        <v>3300.0000000000005</v>
      </c>
      <c r="Y35" s="41">
        <f t="shared" si="198"/>
        <v>3300.0000000000005</v>
      </c>
      <c r="Z35" s="41">
        <f t="shared" si="192"/>
        <v>3630.0000000000009</v>
      </c>
      <c r="AA35" s="41">
        <f t="shared" si="199"/>
        <v>3630.0000000000009</v>
      </c>
      <c r="AB35" s="41">
        <f t="shared" si="199"/>
        <v>3630.0000000000009</v>
      </c>
      <c r="AC35" s="41">
        <f t="shared" si="199"/>
        <v>3630.0000000000009</v>
      </c>
      <c r="AD35" s="41">
        <f t="shared" si="199"/>
        <v>3630.0000000000009</v>
      </c>
      <c r="AE35" s="41">
        <f t="shared" si="199"/>
        <v>3630.0000000000009</v>
      </c>
      <c r="AF35" s="41">
        <f t="shared" si="199"/>
        <v>3630.0000000000009</v>
      </c>
      <c r="AG35" s="41">
        <f t="shared" si="199"/>
        <v>3630.0000000000009</v>
      </c>
      <c r="AH35" s="41">
        <f t="shared" si="199"/>
        <v>3630.0000000000009</v>
      </c>
      <c r="AI35" s="41">
        <f t="shared" si="199"/>
        <v>3630.0000000000009</v>
      </c>
      <c r="AJ35" s="41">
        <f t="shared" si="199"/>
        <v>3630.0000000000009</v>
      </c>
      <c r="AK35" s="41">
        <f t="shared" si="199"/>
        <v>3630.0000000000009</v>
      </c>
      <c r="AL35" s="41">
        <f t="shared" si="187"/>
        <v>3993.0000000000014</v>
      </c>
      <c r="AM35" s="41">
        <f t="shared" si="200"/>
        <v>3993.0000000000014</v>
      </c>
      <c r="AN35" s="41">
        <f t="shared" si="200"/>
        <v>3993.0000000000014</v>
      </c>
      <c r="AO35" s="41">
        <f t="shared" si="200"/>
        <v>3993.0000000000014</v>
      </c>
      <c r="AP35" s="41">
        <f t="shared" si="200"/>
        <v>3993.0000000000014</v>
      </c>
      <c r="AQ35" s="41">
        <f t="shared" si="200"/>
        <v>3993.0000000000014</v>
      </c>
      <c r="AR35" s="41">
        <f t="shared" si="200"/>
        <v>3993.0000000000014</v>
      </c>
      <c r="AS35" s="41">
        <f t="shared" si="200"/>
        <v>3993.0000000000014</v>
      </c>
      <c r="AT35" s="41">
        <f t="shared" si="200"/>
        <v>3993.0000000000014</v>
      </c>
      <c r="AU35" s="41">
        <f t="shared" si="200"/>
        <v>3993.0000000000014</v>
      </c>
      <c r="AV35" s="41">
        <f t="shared" si="200"/>
        <v>3993.0000000000014</v>
      </c>
      <c r="AW35" s="41">
        <f t="shared" si="200"/>
        <v>3993.0000000000014</v>
      </c>
      <c r="AX35" s="41">
        <f t="shared" si="195"/>
        <v>4392.300000000002</v>
      </c>
      <c r="AY35" s="41">
        <f t="shared" si="200"/>
        <v>4392.300000000002</v>
      </c>
      <c r="AZ35" s="41">
        <f t="shared" ref="AZ35:BI35" si="210">AY35</f>
        <v>4392.300000000002</v>
      </c>
      <c r="BA35" s="41">
        <f t="shared" si="210"/>
        <v>4392.300000000002</v>
      </c>
      <c r="BB35" s="41">
        <f t="shared" si="210"/>
        <v>4392.300000000002</v>
      </c>
      <c r="BC35" s="41">
        <f t="shared" si="210"/>
        <v>4392.300000000002</v>
      </c>
      <c r="BD35" s="41">
        <f t="shared" si="210"/>
        <v>4392.300000000002</v>
      </c>
      <c r="BE35" s="41">
        <f t="shared" si="210"/>
        <v>4392.300000000002</v>
      </c>
      <c r="BF35" s="41">
        <f t="shared" si="210"/>
        <v>4392.300000000002</v>
      </c>
      <c r="BG35" s="41">
        <f t="shared" si="210"/>
        <v>4392.300000000002</v>
      </c>
      <c r="BH35" s="41">
        <f t="shared" si="210"/>
        <v>4392.300000000002</v>
      </c>
      <c r="BI35" s="121">
        <f t="shared" si="210"/>
        <v>4392.300000000002</v>
      </c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</row>
    <row r="36" spans="1:85">
      <c r="A36" s="36" t="s">
        <v>99</v>
      </c>
      <c r="B36" s="41">
        <v>1500</v>
      </c>
      <c r="C36" s="41">
        <f>B36</f>
        <v>1500</v>
      </c>
      <c r="D36" s="41">
        <f t="shared" ref="D36:L36" si="211">C36</f>
        <v>1500</v>
      </c>
      <c r="E36" s="41">
        <f t="shared" si="211"/>
        <v>1500</v>
      </c>
      <c r="F36" s="41">
        <f t="shared" si="211"/>
        <v>1500</v>
      </c>
      <c r="G36" s="41">
        <f t="shared" si="211"/>
        <v>1500</v>
      </c>
      <c r="H36" s="41">
        <f t="shared" si="211"/>
        <v>1500</v>
      </c>
      <c r="I36" s="41">
        <f t="shared" si="211"/>
        <v>1500</v>
      </c>
      <c r="J36" s="41">
        <f t="shared" si="211"/>
        <v>1500</v>
      </c>
      <c r="K36" s="41">
        <f t="shared" si="211"/>
        <v>1500</v>
      </c>
      <c r="L36" s="41">
        <f t="shared" si="211"/>
        <v>1500</v>
      </c>
      <c r="M36" s="41">
        <f>L36</f>
        <v>1500</v>
      </c>
      <c r="N36" s="41">
        <f t="shared" si="190"/>
        <v>1650.0000000000002</v>
      </c>
      <c r="O36" s="41">
        <f t="shared" si="198"/>
        <v>1650.0000000000002</v>
      </c>
      <c r="P36" s="41">
        <f t="shared" si="198"/>
        <v>1650.0000000000002</v>
      </c>
      <c r="Q36" s="41">
        <f t="shared" si="198"/>
        <v>1650.0000000000002</v>
      </c>
      <c r="R36" s="41">
        <f t="shared" si="198"/>
        <v>1650.0000000000002</v>
      </c>
      <c r="S36" s="41">
        <f t="shared" si="198"/>
        <v>1650.0000000000002</v>
      </c>
      <c r="T36" s="41">
        <f t="shared" si="198"/>
        <v>1650.0000000000002</v>
      </c>
      <c r="U36" s="41">
        <f t="shared" si="198"/>
        <v>1650.0000000000002</v>
      </c>
      <c r="V36" s="41">
        <f t="shared" si="198"/>
        <v>1650.0000000000002</v>
      </c>
      <c r="W36" s="41">
        <f t="shared" si="198"/>
        <v>1650.0000000000002</v>
      </c>
      <c r="X36" s="41">
        <f t="shared" si="198"/>
        <v>1650.0000000000002</v>
      </c>
      <c r="Y36" s="41">
        <f t="shared" si="198"/>
        <v>1650.0000000000002</v>
      </c>
      <c r="Z36" s="41">
        <f t="shared" si="192"/>
        <v>1815.0000000000005</v>
      </c>
      <c r="AA36" s="41">
        <f t="shared" si="199"/>
        <v>1815.0000000000005</v>
      </c>
      <c r="AB36" s="41">
        <f t="shared" si="199"/>
        <v>1815.0000000000005</v>
      </c>
      <c r="AC36" s="41">
        <f t="shared" si="199"/>
        <v>1815.0000000000005</v>
      </c>
      <c r="AD36" s="41">
        <f t="shared" si="199"/>
        <v>1815.0000000000005</v>
      </c>
      <c r="AE36" s="41">
        <f t="shared" si="199"/>
        <v>1815.0000000000005</v>
      </c>
      <c r="AF36" s="41">
        <f t="shared" si="199"/>
        <v>1815.0000000000005</v>
      </c>
      <c r="AG36" s="41">
        <f t="shared" si="199"/>
        <v>1815.0000000000005</v>
      </c>
      <c r="AH36" s="41">
        <f t="shared" si="199"/>
        <v>1815.0000000000005</v>
      </c>
      <c r="AI36" s="41">
        <f t="shared" si="199"/>
        <v>1815.0000000000005</v>
      </c>
      <c r="AJ36" s="41">
        <f t="shared" si="199"/>
        <v>1815.0000000000005</v>
      </c>
      <c r="AK36" s="41">
        <f t="shared" si="199"/>
        <v>1815.0000000000005</v>
      </c>
      <c r="AL36" s="41">
        <f t="shared" si="187"/>
        <v>1996.5000000000007</v>
      </c>
      <c r="AM36" s="41">
        <f t="shared" si="200"/>
        <v>1996.5000000000007</v>
      </c>
      <c r="AN36" s="41">
        <f t="shared" si="200"/>
        <v>1996.5000000000007</v>
      </c>
      <c r="AO36" s="41">
        <f t="shared" si="200"/>
        <v>1996.5000000000007</v>
      </c>
      <c r="AP36" s="41">
        <f t="shared" si="200"/>
        <v>1996.5000000000007</v>
      </c>
      <c r="AQ36" s="41">
        <f t="shared" si="200"/>
        <v>1996.5000000000007</v>
      </c>
      <c r="AR36" s="41">
        <f t="shared" si="200"/>
        <v>1996.5000000000007</v>
      </c>
      <c r="AS36" s="41">
        <f t="shared" si="200"/>
        <v>1996.5000000000007</v>
      </c>
      <c r="AT36" s="41">
        <f t="shared" si="200"/>
        <v>1996.5000000000007</v>
      </c>
      <c r="AU36" s="41">
        <f t="shared" si="200"/>
        <v>1996.5000000000007</v>
      </c>
      <c r="AV36" s="41">
        <f t="shared" si="200"/>
        <v>1996.5000000000007</v>
      </c>
      <c r="AW36" s="41">
        <f t="shared" si="200"/>
        <v>1996.5000000000007</v>
      </c>
      <c r="AX36" s="41">
        <f t="shared" si="195"/>
        <v>2196.150000000001</v>
      </c>
      <c r="AY36" s="41">
        <f t="shared" si="200"/>
        <v>2196.150000000001</v>
      </c>
      <c r="AZ36" s="41">
        <f t="shared" ref="AZ36:BI36" si="212">AY36</f>
        <v>2196.150000000001</v>
      </c>
      <c r="BA36" s="41">
        <f t="shared" si="212"/>
        <v>2196.150000000001</v>
      </c>
      <c r="BB36" s="41">
        <f t="shared" si="212"/>
        <v>2196.150000000001</v>
      </c>
      <c r="BC36" s="41">
        <f t="shared" si="212"/>
        <v>2196.150000000001</v>
      </c>
      <c r="BD36" s="41">
        <f t="shared" si="212"/>
        <v>2196.150000000001</v>
      </c>
      <c r="BE36" s="41">
        <f t="shared" si="212"/>
        <v>2196.150000000001</v>
      </c>
      <c r="BF36" s="41">
        <f t="shared" si="212"/>
        <v>2196.150000000001</v>
      </c>
      <c r="BG36" s="41">
        <f t="shared" si="212"/>
        <v>2196.150000000001</v>
      </c>
      <c r="BH36" s="41">
        <f t="shared" si="212"/>
        <v>2196.150000000001</v>
      </c>
      <c r="BI36" s="121">
        <f t="shared" si="212"/>
        <v>2196.150000000001</v>
      </c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</row>
    <row r="37" spans="1:85">
      <c r="A37" s="34" t="s">
        <v>174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>
        <f t="shared" si="190"/>
        <v>0</v>
      </c>
      <c r="O37" s="41">
        <f t="shared" si="198"/>
        <v>0</v>
      </c>
      <c r="P37" s="41">
        <f t="shared" si="198"/>
        <v>0</v>
      </c>
      <c r="Q37" s="41">
        <f t="shared" si="198"/>
        <v>0</v>
      </c>
      <c r="R37" s="41">
        <f t="shared" si="198"/>
        <v>0</v>
      </c>
      <c r="S37" s="41">
        <f t="shared" si="198"/>
        <v>0</v>
      </c>
      <c r="T37" s="41">
        <f t="shared" si="198"/>
        <v>0</v>
      </c>
      <c r="U37" s="41">
        <f t="shared" si="198"/>
        <v>0</v>
      </c>
      <c r="V37" s="41">
        <f t="shared" si="198"/>
        <v>0</v>
      </c>
      <c r="W37" s="41">
        <f t="shared" si="198"/>
        <v>0</v>
      </c>
      <c r="X37" s="41">
        <f t="shared" si="198"/>
        <v>0</v>
      </c>
      <c r="Y37" s="41">
        <f t="shared" si="198"/>
        <v>0</v>
      </c>
      <c r="Z37" s="41">
        <f t="shared" si="192"/>
        <v>0</v>
      </c>
      <c r="AA37" s="41">
        <f t="shared" si="199"/>
        <v>0</v>
      </c>
      <c r="AB37" s="41">
        <f t="shared" si="199"/>
        <v>0</v>
      </c>
      <c r="AC37" s="41">
        <f t="shared" si="199"/>
        <v>0</v>
      </c>
      <c r="AD37" s="41">
        <f t="shared" si="199"/>
        <v>0</v>
      </c>
      <c r="AE37" s="41">
        <f t="shared" si="199"/>
        <v>0</v>
      </c>
      <c r="AF37" s="41">
        <f t="shared" si="199"/>
        <v>0</v>
      </c>
      <c r="AG37" s="41">
        <f t="shared" si="199"/>
        <v>0</v>
      </c>
      <c r="AH37" s="41">
        <f t="shared" si="199"/>
        <v>0</v>
      </c>
      <c r="AI37" s="41">
        <f t="shared" si="199"/>
        <v>0</v>
      </c>
      <c r="AJ37" s="41">
        <f t="shared" si="199"/>
        <v>0</v>
      </c>
      <c r="AK37" s="41">
        <f t="shared" si="199"/>
        <v>0</v>
      </c>
      <c r="AL37" s="41">
        <f t="shared" si="187"/>
        <v>0</v>
      </c>
      <c r="AM37" s="41">
        <f t="shared" si="200"/>
        <v>0</v>
      </c>
      <c r="AN37" s="41">
        <f t="shared" si="200"/>
        <v>0</v>
      </c>
      <c r="AO37" s="41">
        <f t="shared" si="200"/>
        <v>0</v>
      </c>
      <c r="AP37" s="41">
        <f t="shared" si="200"/>
        <v>0</v>
      </c>
      <c r="AQ37" s="41">
        <f t="shared" si="200"/>
        <v>0</v>
      </c>
      <c r="AR37" s="41">
        <f t="shared" si="200"/>
        <v>0</v>
      </c>
      <c r="AS37" s="41">
        <f t="shared" si="200"/>
        <v>0</v>
      </c>
      <c r="AT37" s="41">
        <f t="shared" si="200"/>
        <v>0</v>
      </c>
      <c r="AU37" s="41">
        <f t="shared" si="200"/>
        <v>0</v>
      </c>
      <c r="AV37" s="41">
        <f t="shared" si="200"/>
        <v>0</v>
      </c>
      <c r="AW37" s="41">
        <f t="shared" si="200"/>
        <v>0</v>
      </c>
      <c r="AX37" s="41">
        <f t="shared" si="195"/>
        <v>0</v>
      </c>
      <c r="AY37" s="41">
        <f t="shared" si="200"/>
        <v>0</v>
      </c>
      <c r="AZ37" s="41">
        <f t="shared" ref="AZ37:BI37" si="213">AY37</f>
        <v>0</v>
      </c>
      <c r="BA37" s="41">
        <f t="shared" si="213"/>
        <v>0</v>
      </c>
      <c r="BB37" s="41">
        <f t="shared" si="213"/>
        <v>0</v>
      </c>
      <c r="BC37" s="41">
        <f t="shared" si="213"/>
        <v>0</v>
      </c>
      <c r="BD37" s="41">
        <f t="shared" si="213"/>
        <v>0</v>
      </c>
      <c r="BE37" s="41">
        <f t="shared" si="213"/>
        <v>0</v>
      </c>
      <c r="BF37" s="41">
        <f t="shared" si="213"/>
        <v>0</v>
      </c>
      <c r="BG37" s="41">
        <f t="shared" si="213"/>
        <v>0</v>
      </c>
      <c r="BH37" s="41">
        <f t="shared" si="213"/>
        <v>0</v>
      </c>
      <c r="BI37" s="121">
        <f t="shared" si="213"/>
        <v>0</v>
      </c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</row>
    <row r="38" spans="1:85">
      <c r="A38" s="36" t="s">
        <v>179</v>
      </c>
      <c r="B38" s="41">
        <v>600</v>
      </c>
      <c r="C38" s="41">
        <f>B38</f>
        <v>600</v>
      </c>
      <c r="D38" s="41">
        <f t="shared" ref="D38:N38" si="214">C38</f>
        <v>600</v>
      </c>
      <c r="E38" s="41">
        <f t="shared" si="214"/>
        <v>600</v>
      </c>
      <c r="F38" s="41">
        <f t="shared" si="214"/>
        <v>600</v>
      </c>
      <c r="G38" s="41">
        <f t="shared" si="214"/>
        <v>600</v>
      </c>
      <c r="H38" s="41">
        <f t="shared" si="214"/>
        <v>600</v>
      </c>
      <c r="I38" s="41">
        <f t="shared" si="214"/>
        <v>600</v>
      </c>
      <c r="J38" s="41">
        <f t="shared" si="214"/>
        <v>600</v>
      </c>
      <c r="K38" s="41">
        <f t="shared" si="214"/>
        <v>600</v>
      </c>
      <c r="L38" s="41">
        <f t="shared" si="214"/>
        <v>600</v>
      </c>
      <c r="M38" s="41">
        <f t="shared" si="214"/>
        <v>600</v>
      </c>
      <c r="N38" s="41">
        <f t="shared" si="214"/>
        <v>600</v>
      </c>
      <c r="O38" s="41">
        <f t="shared" si="198"/>
        <v>600</v>
      </c>
      <c r="P38" s="41">
        <f t="shared" si="198"/>
        <v>600</v>
      </c>
      <c r="Q38" s="41">
        <f t="shared" si="198"/>
        <v>600</v>
      </c>
      <c r="R38" s="41">
        <f t="shared" si="198"/>
        <v>600</v>
      </c>
      <c r="S38" s="41">
        <f t="shared" si="198"/>
        <v>600</v>
      </c>
      <c r="T38" s="41">
        <f t="shared" si="198"/>
        <v>600</v>
      </c>
      <c r="U38" s="41">
        <f t="shared" si="198"/>
        <v>600</v>
      </c>
      <c r="V38" s="41">
        <f t="shared" si="198"/>
        <v>600</v>
      </c>
      <c r="W38" s="41">
        <f t="shared" si="198"/>
        <v>600</v>
      </c>
      <c r="X38" s="41">
        <f t="shared" si="198"/>
        <v>600</v>
      </c>
      <c r="Y38" s="41">
        <f t="shared" si="198"/>
        <v>600</v>
      </c>
      <c r="Z38" s="41">
        <v>10000</v>
      </c>
      <c r="AA38" s="41">
        <f t="shared" si="199"/>
        <v>10000</v>
      </c>
      <c r="AB38" s="41">
        <f t="shared" si="199"/>
        <v>10000</v>
      </c>
      <c r="AC38" s="41">
        <f t="shared" si="199"/>
        <v>10000</v>
      </c>
      <c r="AD38" s="41">
        <f t="shared" si="199"/>
        <v>10000</v>
      </c>
      <c r="AE38" s="41">
        <f t="shared" si="199"/>
        <v>10000</v>
      </c>
      <c r="AF38" s="41">
        <f t="shared" si="199"/>
        <v>10000</v>
      </c>
      <c r="AG38" s="41">
        <f t="shared" si="199"/>
        <v>10000</v>
      </c>
      <c r="AH38" s="41">
        <f t="shared" si="199"/>
        <v>10000</v>
      </c>
      <c r="AI38" s="41">
        <f t="shared" si="199"/>
        <v>10000</v>
      </c>
      <c r="AJ38" s="41">
        <f t="shared" si="199"/>
        <v>10000</v>
      </c>
      <c r="AK38" s="41">
        <f t="shared" si="199"/>
        <v>10000</v>
      </c>
      <c r="AL38" s="41">
        <f t="shared" si="187"/>
        <v>11000</v>
      </c>
      <c r="AM38" s="41">
        <f t="shared" si="200"/>
        <v>11000</v>
      </c>
      <c r="AN38" s="41">
        <f t="shared" si="200"/>
        <v>11000</v>
      </c>
      <c r="AO38" s="41">
        <f t="shared" si="200"/>
        <v>11000</v>
      </c>
      <c r="AP38" s="41">
        <f t="shared" si="200"/>
        <v>11000</v>
      </c>
      <c r="AQ38" s="41">
        <f t="shared" si="200"/>
        <v>11000</v>
      </c>
      <c r="AR38" s="41">
        <f t="shared" si="200"/>
        <v>11000</v>
      </c>
      <c r="AS38" s="41">
        <f t="shared" si="200"/>
        <v>11000</v>
      </c>
      <c r="AT38" s="41">
        <f t="shared" si="200"/>
        <v>11000</v>
      </c>
      <c r="AU38" s="41">
        <f t="shared" si="200"/>
        <v>11000</v>
      </c>
      <c r="AV38" s="41">
        <f t="shared" si="200"/>
        <v>11000</v>
      </c>
      <c r="AW38" s="41">
        <f t="shared" si="200"/>
        <v>11000</v>
      </c>
      <c r="AX38" s="41">
        <f t="shared" si="195"/>
        <v>12100.000000000002</v>
      </c>
      <c r="AY38" s="41">
        <f t="shared" si="200"/>
        <v>12100.000000000002</v>
      </c>
      <c r="AZ38" s="41">
        <f t="shared" ref="AZ38:BI38" si="215">AY38</f>
        <v>12100.000000000002</v>
      </c>
      <c r="BA38" s="41">
        <f t="shared" si="215"/>
        <v>12100.000000000002</v>
      </c>
      <c r="BB38" s="41">
        <f t="shared" si="215"/>
        <v>12100.000000000002</v>
      </c>
      <c r="BC38" s="41">
        <f t="shared" si="215"/>
        <v>12100.000000000002</v>
      </c>
      <c r="BD38" s="41">
        <f t="shared" si="215"/>
        <v>12100.000000000002</v>
      </c>
      <c r="BE38" s="41">
        <f t="shared" si="215"/>
        <v>12100.000000000002</v>
      </c>
      <c r="BF38" s="41">
        <f t="shared" si="215"/>
        <v>12100.000000000002</v>
      </c>
      <c r="BG38" s="41">
        <f t="shared" si="215"/>
        <v>12100.000000000002</v>
      </c>
      <c r="BH38" s="41">
        <f t="shared" si="215"/>
        <v>12100.000000000002</v>
      </c>
      <c r="BI38" s="121">
        <f t="shared" si="215"/>
        <v>12100.000000000002</v>
      </c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</row>
    <row r="39" spans="1:85">
      <c r="A39" s="36" t="s">
        <v>74</v>
      </c>
      <c r="B39" s="41">
        <v>7000</v>
      </c>
      <c r="C39" s="41">
        <f>B39</f>
        <v>7000</v>
      </c>
      <c r="D39" s="41">
        <f t="shared" ref="D39:M39" si="216">C39</f>
        <v>7000</v>
      </c>
      <c r="E39" s="41">
        <f t="shared" si="216"/>
        <v>7000</v>
      </c>
      <c r="F39" s="41">
        <f t="shared" si="216"/>
        <v>7000</v>
      </c>
      <c r="G39" s="41">
        <f t="shared" si="216"/>
        <v>7000</v>
      </c>
      <c r="H39" s="41">
        <f t="shared" si="216"/>
        <v>7000</v>
      </c>
      <c r="I39" s="41">
        <f t="shared" si="216"/>
        <v>7000</v>
      </c>
      <c r="J39" s="41">
        <f t="shared" si="216"/>
        <v>7000</v>
      </c>
      <c r="K39" s="41">
        <f t="shared" si="216"/>
        <v>7000</v>
      </c>
      <c r="L39" s="41">
        <f t="shared" si="216"/>
        <v>7000</v>
      </c>
      <c r="M39" s="41">
        <f t="shared" si="216"/>
        <v>7000</v>
      </c>
      <c r="N39" s="41">
        <f t="shared" si="190"/>
        <v>7700.0000000000009</v>
      </c>
      <c r="O39" s="41">
        <f t="shared" si="198"/>
        <v>7700.0000000000009</v>
      </c>
      <c r="P39" s="41">
        <f t="shared" si="198"/>
        <v>7700.0000000000009</v>
      </c>
      <c r="Q39" s="41">
        <f t="shared" si="198"/>
        <v>7700.0000000000009</v>
      </c>
      <c r="R39" s="41">
        <f t="shared" si="198"/>
        <v>7700.0000000000009</v>
      </c>
      <c r="S39" s="41">
        <f t="shared" si="198"/>
        <v>7700.0000000000009</v>
      </c>
      <c r="T39" s="41">
        <f t="shared" si="198"/>
        <v>7700.0000000000009</v>
      </c>
      <c r="U39" s="41">
        <f t="shared" si="198"/>
        <v>7700.0000000000009</v>
      </c>
      <c r="V39" s="41">
        <f t="shared" si="198"/>
        <v>7700.0000000000009</v>
      </c>
      <c r="W39" s="41">
        <f t="shared" si="198"/>
        <v>7700.0000000000009</v>
      </c>
      <c r="X39" s="41">
        <f t="shared" si="198"/>
        <v>7700.0000000000009</v>
      </c>
      <c r="Y39" s="41">
        <f t="shared" si="198"/>
        <v>7700.0000000000009</v>
      </c>
      <c r="Z39" s="41">
        <f t="shared" si="192"/>
        <v>8470.0000000000018</v>
      </c>
      <c r="AA39" s="41">
        <f t="shared" si="199"/>
        <v>8470.0000000000018</v>
      </c>
      <c r="AB39" s="41">
        <f t="shared" si="199"/>
        <v>8470.0000000000018</v>
      </c>
      <c r="AC39" s="41">
        <f t="shared" si="199"/>
        <v>8470.0000000000018</v>
      </c>
      <c r="AD39" s="41">
        <f t="shared" si="199"/>
        <v>8470.0000000000018</v>
      </c>
      <c r="AE39" s="41">
        <f t="shared" si="199"/>
        <v>8470.0000000000018</v>
      </c>
      <c r="AF39" s="41">
        <f t="shared" si="199"/>
        <v>8470.0000000000018</v>
      </c>
      <c r="AG39" s="41">
        <f t="shared" si="199"/>
        <v>8470.0000000000018</v>
      </c>
      <c r="AH39" s="41">
        <f t="shared" si="199"/>
        <v>8470.0000000000018</v>
      </c>
      <c r="AI39" s="41">
        <f t="shared" si="199"/>
        <v>8470.0000000000018</v>
      </c>
      <c r="AJ39" s="41">
        <f t="shared" si="199"/>
        <v>8470.0000000000018</v>
      </c>
      <c r="AK39" s="41">
        <f t="shared" si="199"/>
        <v>8470.0000000000018</v>
      </c>
      <c r="AL39" s="41">
        <f t="shared" si="187"/>
        <v>9317.0000000000036</v>
      </c>
      <c r="AM39" s="41">
        <f t="shared" si="200"/>
        <v>9317.0000000000036</v>
      </c>
      <c r="AN39" s="41">
        <f t="shared" si="200"/>
        <v>9317.0000000000036</v>
      </c>
      <c r="AO39" s="41">
        <f t="shared" si="200"/>
        <v>9317.0000000000036</v>
      </c>
      <c r="AP39" s="41">
        <f t="shared" si="200"/>
        <v>9317.0000000000036</v>
      </c>
      <c r="AQ39" s="41">
        <f t="shared" si="200"/>
        <v>9317.0000000000036</v>
      </c>
      <c r="AR39" s="41">
        <f t="shared" si="200"/>
        <v>9317.0000000000036</v>
      </c>
      <c r="AS39" s="41">
        <f t="shared" si="200"/>
        <v>9317.0000000000036</v>
      </c>
      <c r="AT39" s="41">
        <f t="shared" si="200"/>
        <v>9317.0000000000036</v>
      </c>
      <c r="AU39" s="41">
        <f t="shared" si="200"/>
        <v>9317.0000000000036</v>
      </c>
      <c r="AV39" s="41">
        <f t="shared" si="200"/>
        <v>9317.0000000000036</v>
      </c>
      <c r="AW39" s="41">
        <f t="shared" si="200"/>
        <v>9317.0000000000036</v>
      </c>
      <c r="AX39" s="41">
        <f t="shared" si="195"/>
        <v>10248.700000000004</v>
      </c>
      <c r="AY39" s="41">
        <f t="shared" si="200"/>
        <v>10248.700000000004</v>
      </c>
      <c r="AZ39" s="41">
        <f t="shared" ref="AZ39:BI39" si="217">AY39</f>
        <v>10248.700000000004</v>
      </c>
      <c r="BA39" s="41">
        <f t="shared" si="217"/>
        <v>10248.700000000004</v>
      </c>
      <c r="BB39" s="41">
        <f t="shared" si="217"/>
        <v>10248.700000000004</v>
      </c>
      <c r="BC39" s="41">
        <f t="shared" si="217"/>
        <v>10248.700000000004</v>
      </c>
      <c r="BD39" s="41">
        <f t="shared" si="217"/>
        <v>10248.700000000004</v>
      </c>
      <c r="BE39" s="41">
        <f t="shared" si="217"/>
        <v>10248.700000000004</v>
      </c>
      <c r="BF39" s="41">
        <f t="shared" si="217"/>
        <v>10248.700000000004</v>
      </c>
      <c r="BG39" s="41">
        <f t="shared" si="217"/>
        <v>10248.700000000004</v>
      </c>
      <c r="BH39" s="41">
        <f t="shared" si="217"/>
        <v>10248.700000000004</v>
      </c>
      <c r="BI39" s="121">
        <f t="shared" si="217"/>
        <v>10248.700000000004</v>
      </c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</row>
    <row r="40" spans="1:85">
      <c r="A40" s="36" t="s">
        <v>99</v>
      </c>
      <c r="B40" s="41">
        <v>1500</v>
      </c>
      <c r="C40" s="41">
        <f>B40</f>
        <v>1500</v>
      </c>
      <c r="D40" s="41">
        <f t="shared" ref="D40:M40" si="218">C40</f>
        <v>1500</v>
      </c>
      <c r="E40" s="41">
        <f t="shared" si="218"/>
        <v>1500</v>
      </c>
      <c r="F40" s="41">
        <f t="shared" si="218"/>
        <v>1500</v>
      </c>
      <c r="G40" s="41">
        <f t="shared" si="218"/>
        <v>1500</v>
      </c>
      <c r="H40" s="41">
        <f t="shared" si="218"/>
        <v>1500</v>
      </c>
      <c r="I40" s="41">
        <f t="shared" si="218"/>
        <v>1500</v>
      </c>
      <c r="J40" s="41">
        <f t="shared" si="218"/>
        <v>1500</v>
      </c>
      <c r="K40" s="41">
        <f t="shared" si="218"/>
        <v>1500</v>
      </c>
      <c r="L40" s="41">
        <f t="shared" si="218"/>
        <v>1500</v>
      </c>
      <c r="M40" s="41">
        <f t="shared" si="218"/>
        <v>1500</v>
      </c>
      <c r="N40" s="41">
        <f t="shared" si="190"/>
        <v>1650.0000000000002</v>
      </c>
      <c r="O40" s="41">
        <f t="shared" si="198"/>
        <v>1650.0000000000002</v>
      </c>
      <c r="P40" s="41">
        <f t="shared" si="198"/>
        <v>1650.0000000000002</v>
      </c>
      <c r="Q40" s="41">
        <f t="shared" si="198"/>
        <v>1650.0000000000002</v>
      </c>
      <c r="R40" s="41">
        <f t="shared" si="198"/>
        <v>1650.0000000000002</v>
      </c>
      <c r="S40" s="41">
        <f t="shared" si="198"/>
        <v>1650.0000000000002</v>
      </c>
      <c r="T40" s="41">
        <f t="shared" si="198"/>
        <v>1650.0000000000002</v>
      </c>
      <c r="U40" s="41">
        <f t="shared" si="198"/>
        <v>1650.0000000000002</v>
      </c>
      <c r="V40" s="41">
        <f t="shared" si="198"/>
        <v>1650.0000000000002</v>
      </c>
      <c r="W40" s="41">
        <f t="shared" si="198"/>
        <v>1650.0000000000002</v>
      </c>
      <c r="X40" s="41">
        <f t="shared" si="198"/>
        <v>1650.0000000000002</v>
      </c>
      <c r="Y40" s="41">
        <f t="shared" si="198"/>
        <v>1650.0000000000002</v>
      </c>
      <c r="Z40" s="41">
        <f t="shared" si="192"/>
        <v>1815.0000000000005</v>
      </c>
      <c r="AA40" s="41">
        <f t="shared" si="199"/>
        <v>1815.0000000000005</v>
      </c>
      <c r="AB40" s="41">
        <f t="shared" si="199"/>
        <v>1815.0000000000005</v>
      </c>
      <c r="AC40" s="41">
        <f t="shared" si="199"/>
        <v>1815.0000000000005</v>
      </c>
      <c r="AD40" s="41">
        <f t="shared" si="199"/>
        <v>1815.0000000000005</v>
      </c>
      <c r="AE40" s="41">
        <f t="shared" si="199"/>
        <v>1815.0000000000005</v>
      </c>
      <c r="AF40" s="41">
        <f t="shared" si="199"/>
        <v>1815.0000000000005</v>
      </c>
      <c r="AG40" s="41">
        <f t="shared" si="199"/>
        <v>1815.0000000000005</v>
      </c>
      <c r="AH40" s="41">
        <f t="shared" si="199"/>
        <v>1815.0000000000005</v>
      </c>
      <c r="AI40" s="41">
        <f t="shared" si="199"/>
        <v>1815.0000000000005</v>
      </c>
      <c r="AJ40" s="41">
        <f t="shared" si="199"/>
        <v>1815.0000000000005</v>
      </c>
      <c r="AK40" s="41">
        <f t="shared" si="199"/>
        <v>1815.0000000000005</v>
      </c>
      <c r="AL40" s="41">
        <f t="shared" si="187"/>
        <v>1996.5000000000007</v>
      </c>
      <c r="AM40" s="41">
        <f t="shared" si="200"/>
        <v>1996.5000000000007</v>
      </c>
      <c r="AN40" s="41">
        <f t="shared" si="200"/>
        <v>1996.5000000000007</v>
      </c>
      <c r="AO40" s="41">
        <f t="shared" si="200"/>
        <v>1996.5000000000007</v>
      </c>
      <c r="AP40" s="41">
        <f t="shared" si="200"/>
        <v>1996.5000000000007</v>
      </c>
      <c r="AQ40" s="41">
        <f t="shared" si="200"/>
        <v>1996.5000000000007</v>
      </c>
      <c r="AR40" s="41">
        <f t="shared" si="200"/>
        <v>1996.5000000000007</v>
      </c>
      <c r="AS40" s="41">
        <f t="shared" si="200"/>
        <v>1996.5000000000007</v>
      </c>
      <c r="AT40" s="41">
        <f t="shared" si="200"/>
        <v>1996.5000000000007</v>
      </c>
      <c r="AU40" s="41">
        <f t="shared" si="200"/>
        <v>1996.5000000000007</v>
      </c>
      <c r="AV40" s="41">
        <f t="shared" si="200"/>
        <v>1996.5000000000007</v>
      </c>
      <c r="AW40" s="41">
        <f t="shared" si="200"/>
        <v>1996.5000000000007</v>
      </c>
      <c r="AX40" s="41">
        <f t="shared" si="195"/>
        <v>2196.150000000001</v>
      </c>
      <c r="AY40" s="41">
        <f t="shared" si="200"/>
        <v>2196.150000000001</v>
      </c>
      <c r="AZ40" s="41">
        <f t="shared" ref="AZ40:BI40" si="219">AY40</f>
        <v>2196.150000000001</v>
      </c>
      <c r="BA40" s="41">
        <f t="shared" si="219"/>
        <v>2196.150000000001</v>
      </c>
      <c r="BB40" s="41">
        <f t="shared" si="219"/>
        <v>2196.150000000001</v>
      </c>
      <c r="BC40" s="41">
        <f t="shared" si="219"/>
        <v>2196.150000000001</v>
      </c>
      <c r="BD40" s="41">
        <f t="shared" si="219"/>
        <v>2196.150000000001</v>
      </c>
      <c r="BE40" s="41">
        <f t="shared" si="219"/>
        <v>2196.150000000001</v>
      </c>
      <c r="BF40" s="41">
        <f t="shared" si="219"/>
        <v>2196.150000000001</v>
      </c>
      <c r="BG40" s="41">
        <f t="shared" si="219"/>
        <v>2196.150000000001</v>
      </c>
      <c r="BH40" s="41">
        <f t="shared" si="219"/>
        <v>2196.150000000001</v>
      </c>
      <c r="BI40" s="121">
        <f t="shared" si="219"/>
        <v>2196.150000000001</v>
      </c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</row>
    <row r="41" spans="1:85">
      <c r="A41" s="36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</row>
    <row r="42" spans="1:85" ht="12.75">
      <c r="A42" s="38" t="s">
        <v>203</v>
      </c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</row>
    <row r="43" spans="1:85">
      <c r="A43" s="34" t="s">
        <v>83</v>
      </c>
      <c r="B43" s="67">
        <f t="shared" ref="B43:B58" si="220">B25*B8</f>
        <v>0</v>
      </c>
      <c r="C43" s="67">
        <f t="shared" ref="C43:AL50" si="221">C25*C8</f>
        <v>0</v>
      </c>
      <c r="D43" s="67">
        <f t="shared" si="221"/>
        <v>0</v>
      </c>
      <c r="E43" s="67">
        <f t="shared" si="221"/>
        <v>0</v>
      </c>
      <c r="F43" s="67">
        <f t="shared" si="221"/>
        <v>0</v>
      </c>
      <c r="G43" s="67">
        <f t="shared" si="221"/>
        <v>0</v>
      </c>
      <c r="H43" s="67">
        <f t="shared" si="221"/>
        <v>0</v>
      </c>
      <c r="I43" s="67">
        <f t="shared" si="221"/>
        <v>0</v>
      </c>
      <c r="J43" s="67">
        <f t="shared" si="221"/>
        <v>0</v>
      </c>
      <c r="K43" s="67">
        <f t="shared" si="221"/>
        <v>0</v>
      </c>
      <c r="L43" s="67">
        <f t="shared" si="221"/>
        <v>0</v>
      </c>
      <c r="M43" s="67">
        <f t="shared" si="221"/>
        <v>0</v>
      </c>
      <c r="N43" s="67">
        <f t="shared" si="221"/>
        <v>0</v>
      </c>
      <c r="O43" s="67">
        <f t="shared" si="221"/>
        <v>0</v>
      </c>
      <c r="P43" s="67">
        <f t="shared" si="221"/>
        <v>0</v>
      </c>
      <c r="Q43" s="67">
        <f t="shared" si="221"/>
        <v>0</v>
      </c>
      <c r="R43" s="67">
        <f t="shared" si="221"/>
        <v>0</v>
      </c>
      <c r="S43" s="67">
        <f t="shared" si="221"/>
        <v>0</v>
      </c>
      <c r="T43" s="67">
        <f t="shared" si="221"/>
        <v>0</v>
      </c>
      <c r="U43" s="67">
        <f t="shared" si="221"/>
        <v>0</v>
      </c>
      <c r="V43" s="67">
        <f t="shared" si="221"/>
        <v>0</v>
      </c>
      <c r="W43" s="67">
        <f t="shared" si="221"/>
        <v>0</v>
      </c>
      <c r="X43" s="67">
        <f t="shared" si="221"/>
        <v>0</v>
      </c>
      <c r="Y43" s="67">
        <f t="shared" si="221"/>
        <v>0</v>
      </c>
      <c r="Z43" s="67">
        <f t="shared" si="221"/>
        <v>0</v>
      </c>
      <c r="AA43" s="67">
        <f t="shared" si="221"/>
        <v>0</v>
      </c>
      <c r="AB43" s="67">
        <f t="shared" si="221"/>
        <v>0</v>
      </c>
      <c r="AC43" s="67">
        <f t="shared" si="221"/>
        <v>0</v>
      </c>
      <c r="AD43" s="67">
        <f t="shared" si="221"/>
        <v>0</v>
      </c>
      <c r="AE43" s="67">
        <f t="shared" si="221"/>
        <v>0</v>
      </c>
      <c r="AF43" s="67">
        <f t="shared" si="221"/>
        <v>0</v>
      </c>
      <c r="AG43" s="67">
        <f t="shared" si="221"/>
        <v>0</v>
      </c>
      <c r="AH43" s="67">
        <f t="shared" si="221"/>
        <v>0</v>
      </c>
      <c r="AI43" s="67">
        <f t="shared" si="221"/>
        <v>0</v>
      </c>
      <c r="AJ43" s="67">
        <f t="shared" si="221"/>
        <v>0</v>
      </c>
      <c r="AK43" s="67">
        <f t="shared" si="221"/>
        <v>0</v>
      </c>
      <c r="AL43" s="67">
        <f t="shared" si="221"/>
        <v>0</v>
      </c>
      <c r="AM43" s="67">
        <f>AM25*AM8</f>
        <v>0</v>
      </c>
      <c r="AN43" s="67">
        <f t="shared" ref="AN43:BI55" si="222">AN25*AN8</f>
        <v>0</v>
      </c>
      <c r="AO43" s="67">
        <f t="shared" si="222"/>
        <v>0</v>
      </c>
      <c r="AP43" s="67">
        <f t="shared" si="222"/>
        <v>0</v>
      </c>
      <c r="AQ43" s="67">
        <f t="shared" si="222"/>
        <v>0</v>
      </c>
      <c r="AR43" s="67">
        <f t="shared" si="222"/>
        <v>0</v>
      </c>
      <c r="AS43" s="67">
        <f t="shared" si="222"/>
        <v>0</v>
      </c>
      <c r="AT43" s="67">
        <f t="shared" si="222"/>
        <v>0</v>
      </c>
      <c r="AU43" s="67">
        <f t="shared" si="222"/>
        <v>0</v>
      </c>
      <c r="AV43" s="67">
        <f t="shared" si="222"/>
        <v>0</v>
      </c>
      <c r="AW43" s="67">
        <f t="shared" si="222"/>
        <v>0</v>
      </c>
      <c r="AX43" s="67">
        <f t="shared" si="222"/>
        <v>0</v>
      </c>
      <c r="AY43" s="67">
        <f t="shared" si="222"/>
        <v>0</v>
      </c>
      <c r="AZ43" s="67">
        <f t="shared" si="222"/>
        <v>0</v>
      </c>
      <c r="BA43" s="67">
        <f t="shared" si="222"/>
        <v>0</v>
      </c>
      <c r="BB43" s="67">
        <f t="shared" si="222"/>
        <v>0</v>
      </c>
      <c r="BC43" s="67">
        <f t="shared" si="222"/>
        <v>0</v>
      </c>
      <c r="BD43" s="67">
        <f t="shared" si="222"/>
        <v>0</v>
      </c>
      <c r="BE43" s="67">
        <f t="shared" si="222"/>
        <v>0</v>
      </c>
      <c r="BF43" s="67">
        <f t="shared" si="222"/>
        <v>0</v>
      </c>
      <c r="BG43" s="67">
        <f t="shared" si="222"/>
        <v>0</v>
      </c>
      <c r="BH43" s="67">
        <f t="shared" si="222"/>
        <v>0</v>
      </c>
      <c r="BI43" s="122">
        <f t="shared" si="222"/>
        <v>0</v>
      </c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</row>
    <row r="44" spans="1:85">
      <c r="A44" s="36" t="s">
        <v>86</v>
      </c>
      <c r="B44" s="67">
        <f t="shared" si="220"/>
        <v>8000</v>
      </c>
      <c r="C44" s="67">
        <f t="shared" ref="C44:M44" si="223">C26*C9</f>
        <v>8000</v>
      </c>
      <c r="D44" s="67">
        <f t="shared" si="223"/>
        <v>8000</v>
      </c>
      <c r="E44" s="67">
        <f t="shared" si="223"/>
        <v>8000</v>
      </c>
      <c r="F44" s="67">
        <f t="shared" si="223"/>
        <v>8000</v>
      </c>
      <c r="G44" s="67">
        <f t="shared" si="223"/>
        <v>8000</v>
      </c>
      <c r="H44" s="67">
        <f t="shared" si="223"/>
        <v>8000</v>
      </c>
      <c r="I44" s="67">
        <f t="shared" si="223"/>
        <v>8000</v>
      </c>
      <c r="J44" s="67">
        <f t="shared" si="223"/>
        <v>8000</v>
      </c>
      <c r="K44" s="67">
        <f t="shared" si="223"/>
        <v>8000</v>
      </c>
      <c r="L44" s="67">
        <f t="shared" si="223"/>
        <v>8000</v>
      </c>
      <c r="M44" s="67">
        <f t="shared" si="223"/>
        <v>8000</v>
      </c>
      <c r="N44" s="67">
        <f>N26*N9/2</f>
        <v>4000</v>
      </c>
      <c r="O44" s="67">
        <f>O26*O9/2</f>
        <v>4000</v>
      </c>
      <c r="P44" s="67">
        <f t="shared" ref="P44:BI44" si="224">P26*P9/2</f>
        <v>4000</v>
      </c>
      <c r="Q44" s="67">
        <f t="shared" si="224"/>
        <v>4000</v>
      </c>
      <c r="R44" s="67">
        <f t="shared" si="224"/>
        <v>4000</v>
      </c>
      <c r="S44" s="67">
        <f t="shared" si="224"/>
        <v>4000</v>
      </c>
      <c r="T44" s="67">
        <f t="shared" si="224"/>
        <v>4000</v>
      </c>
      <c r="U44" s="67">
        <f t="shared" si="224"/>
        <v>4000</v>
      </c>
      <c r="V44" s="67">
        <f t="shared" si="224"/>
        <v>4000</v>
      </c>
      <c r="W44" s="67">
        <f t="shared" si="224"/>
        <v>4000</v>
      </c>
      <c r="X44" s="67">
        <f t="shared" si="224"/>
        <v>4000</v>
      </c>
      <c r="Y44" s="67">
        <f t="shared" si="224"/>
        <v>4000</v>
      </c>
      <c r="Z44" s="67">
        <f t="shared" si="224"/>
        <v>4000</v>
      </c>
      <c r="AA44" s="67">
        <f t="shared" si="224"/>
        <v>4000</v>
      </c>
      <c r="AB44" s="67">
        <f t="shared" si="224"/>
        <v>4000</v>
      </c>
      <c r="AC44" s="67">
        <f t="shared" si="224"/>
        <v>4000</v>
      </c>
      <c r="AD44" s="67">
        <f t="shared" si="224"/>
        <v>4000</v>
      </c>
      <c r="AE44" s="67">
        <f t="shared" si="224"/>
        <v>4000</v>
      </c>
      <c r="AF44" s="67">
        <f t="shared" si="224"/>
        <v>4000</v>
      </c>
      <c r="AG44" s="67">
        <f t="shared" si="224"/>
        <v>4000</v>
      </c>
      <c r="AH44" s="67">
        <f t="shared" si="224"/>
        <v>4000</v>
      </c>
      <c r="AI44" s="67">
        <f t="shared" si="224"/>
        <v>4000</v>
      </c>
      <c r="AJ44" s="67">
        <f t="shared" si="224"/>
        <v>4000</v>
      </c>
      <c r="AK44" s="67">
        <f t="shared" si="224"/>
        <v>4000</v>
      </c>
      <c r="AL44" s="67">
        <f t="shared" si="224"/>
        <v>4000</v>
      </c>
      <c r="AM44" s="67">
        <f t="shared" si="224"/>
        <v>4000</v>
      </c>
      <c r="AN44" s="67">
        <f t="shared" si="224"/>
        <v>4000</v>
      </c>
      <c r="AO44" s="67">
        <f t="shared" si="224"/>
        <v>4000</v>
      </c>
      <c r="AP44" s="67">
        <f t="shared" si="224"/>
        <v>4000</v>
      </c>
      <c r="AQ44" s="67">
        <f t="shared" si="224"/>
        <v>4000</v>
      </c>
      <c r="AR44" s="67">
        <f t="shared" si="224"/>
        <v>4000</v>
      </c>
      <c r="AS44" s="67">
        <f t="shared" si="224"/>
        <v>4000</v>
      </c>
      <c r="AT44" s="67">
        <f t="shared" si="224"/>
        <v>4000</v>
      </c>
      <c r="AU44" s="67">
        <f t="shared" si="224"/>
        <v>4000</v>
      </c>
      <c r="AV44" s="67">
        <f t="shared" si="224"/>
        <v>4000</v>
      </c>
      <c r="AW44" s="67">
        <f t="shared" si="224"/>
        <v>4000</v>
      </c>
      <c r="AX44" s="67">
        <f t="shared" si="224"/>
        <v>4000</v>
      </c>
      <c r="AY44" s="67">
        <f t="shared" si="224"/>
        <v>4000</v>
      </c>
      <c r="AZ44" s="67">
        <f t="shared" si="224"/>
        <v>4000</v>
      </c>
      <c r="BA44" s="67">
        <f t="shared" si="224"/>
        <v>4000</v>
      </c>
      <c r="BB44" s="67">
        <f t="shared" si="224"/>
        <v>4000</v>
      </c>
      <c r="BC44" s="67">
        <f t="shared" si="224"/>
        <v>4000</v>
      </c>
      <c r="BD44" s="67">
        <f t="shared" si="224"/>
        <v>4000</v>
      </c>
      <c r="BE44" s="67">
        <f t="shared" si="224"/>
        <v>4000</v>
      </c>
      <c r="BF44" s="67">
        <f t="shared" si="224"/>
        <v>4000</v>
      </c>
      <c r="BG44" s="67">
        <f t="shared" si="224"/>
        <v>4000</v>
      </c>
      <c r="BH44" s="67">
        <f t="shared" si="224"/>
        <v>4000</v>
      </c>
      <c r="BI44" s="67">
        <f t="shared" si="224"/>
        <v>4000</v>
      </c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</row>
    <row r="45" spans="1:85">
      <c r="A45" s="34" t="s">
        <v>175</v>
      </c>
      <c r="B45" s="67">
        <f t="shared" si="220"/>
        <v>0</v>
      </c>
      <c r="C45" s="67">
        <f t="shared" si="221"/>
        <v>0</v>
      </c>
      <c r="D45" s="67">
        <f t="shared" si="221"/>
        <v>0</v>
      </c>
      <c r="E45" s="67">
        <f t="shared" si="221"/>
        <v>0</v>
      </c>
      <c r="F45" s="67">
        <f t="shared" si="221"/>
        <v>0</v>
      </c>
      <c r="G45" s="67">
        <f t="shared" si="221"/>
        <v>0</v>
      </c>
      <c r="H45" s="67">
        <f t="shared" si="221"/>
        <v>0</v>
      </c>
      <c r="I45" s="67">
        <f t="shared" si="221"/>
        <v>0</v>
      </c>
      <c r="J45" s="67">
        <f t="shared" si="221"/>
        <v>0</v>
      </c>
      <c r="K45" s="67">
        <f t="shared" si="221"/>
        <v>0</v>
      </c>
      <c r="L45" s="67">
        <f t="shared" si="221"/>
        <v>0</v>
      </c>
      <c r="M45" s="67">
        <f t="shared" si="221"/>
        <v>0</v>
      </c>
      <c r="N45" s="67">
        <f t="shared" si="221"/>
        <v>0</v>
      </c>
      <c r="O45" s="67">
        <f t="shared" si="221"/>
        <v>0</v>
      </c>
      <c r="P45" s="67">
        <f t="shared" si="221"/>
        <v>0</v>
      </c>
      <c r="Q45" s="67">
        <f t="shared" si="221"/>
        <v>0</v>
      </c>
      <c r="R45" s="67">
        <f t="shared" si="221"/>
        <v>0</v>
      </c>
      <c r="S45" s="67">
        <f t="shared" si="221"/>
        <v>0</v>
      </c>
      <c r="T45" s="67">
        <f t="shared" si="221"/>
        <v>0</v>
      </c>
      <c r="U45" s="67">
        <f t="shared" si="221"/>
        <v>0</v>
      </c>
      <c r="V45" s="67">
        <f t="shared" si="221"/>
        <v>0</v>
      </c>
      <c r="W45" s="67">
        <f t="shared" si="221"/>
        <v>0</v>
      </c>
      <c r="X45" s="67">
        <f t="shared" si="221"/>
        <v>0</v>
      </c>
      <c r="Y45" s="67">
        <f t="shared" si="221"/>
        <v>0</v>
      </c>
      <c r="Z45" s="67">
        <f t="shared" si="221"/>
        <v>0</v>
      </c>
      <c r="AA45" s="67">
        <f t="shared" si="221"/>
        <v>0</v>
      </c>
      <c r="AB45" s="67">
        <f t="shared" si="221"/>
        <v>0</v>
      </c>
      <c r="AC45" s="67">
        <f t="shared" si="221"/>
        <v>0</v>
      </c>
      <c r="AD45" s="67">
        <f t="shared" si="221"/>
        <v>0</v>
      </c>
      <c r="AE45" s="67">
        <f t="shared" si="221"/>
        <v>0</v>
      </c>
      <c r="AF45" s="67">
        <f t="shared" si="221"/>
        <v>0</v>
      </c>
      <c r="AG45" s="67">
        <f t="shared" si="221"/>
        <v>0</v>
      </c>
      <c r="AH45" s="67">
        <f t="shared" si="221"/>
        <v>0</v>
      </c>
      <c r="AI45" s="67">
        <f t="shared" si="221"/>
        <v>0</v>
      </c>
      <c r="AJ45" s="67">
        <f t="shared" si="221"/>
        <v>0</v>
      </c>
      <c r="AK45" s="67">
        <f t="shared" si="221"/>
        <v>0</v>
      </c>
      <c r="AL45" s="67">
        <f t="shared" si="221"/>
        <v>0</v>
      </c>
      <c r="AM45" s="67">
        <f t="shared" ref="AM45:AM57" si="225">AM27*AM10</f>
        <v>0</v>
      </c>
      <c r="AN45" s="67">
        <f t="shared" si="222"/>
        <v>0</v>
      </c>
      <c r="AO45" s="67">
        <f t="shared" si="222"/>
        <v>0</v>
      </c>
      <c r="AP45" s="67">
        <f t="shared" si="222"/>
        <v>0</v>
      </c>
      <c r="AQ45" s="67">
        <f t="shared" si="222"/>
        <v>0</v>
      </c>
      <c r="AR45" s="67">
        <f t="shared" si="222"/>
        <v>0</v>
      </c>
      <c r="AS45" s="67">
        <f t="shared" si="222"/>
        <v>0</v>
      </c>
      <c r="AT45" s="67">
        <f t="shared" si="222"/>
        <v>0</v>
      </c>
      <c r="AU45" s="67">
        <f t="shared" si="222"/>
        <v>0</v>
      </c>
      <c r="AV45" s="67">
        <f t="shared" si="222"/>
        <v>0</v>
      </c>
      <c r="AW45" s="67">
        <f t="shared" si="222"/>
        <v>0</v>
      </c>
      <c r="AX45" s="67">
        <f t="shared" si="222"/>
        <v>0</v>
      </c>
      <c r="AY45" s="67">
        <f t="shared" si="222"/>
        <v>0</v>
      </c>
      <c r="AZ45" s="67">
        <f t="shared" si="222"/>
        <v>0</v>
      </c>
      <c r="BA45" s="67">
        <f t="shared" si="222"/>
        <v>0</v>
      </c>
      <c r="BB45" s="67">
        <f t="shared" si="222"/>
        <v>0</v>
      </c>
      <c r="BC45" s="67">
        <f t="shared" si="222"/>
        <v>0</v>
      </c>
      <c r="BD45" s="67">
        <f t="shared" si="222"/>
        <v>0</v>
      </c>
      <c r="BE45" s="67">
        <f t="shared" si="222"/>
        <v>0</v>
      </c>
      <c r="BF45" s="67">
        <f t="shared" si="222"/>
        <v>0</v>
      </c>
      <c r="BG45" s="67">
        <f t="shared" si="222"/>
        <v>0</v>
      </c>
      <c r="BH45" s="67">
        <f t="shared" si="222"/>
        <v>0</v>
      </c>
      <c r="BI45" s="122">
        <f t="shared" si="222"/>
        <v>0</v>
      </c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</row>
    <row r="46" spans="1:85">
      <c r="A46" s="36" t="s">
        <v>177</v>
      </c>
      <c r="B46" s="67">
        <f t="shared" si="220"/>
        <v>600</v>
      </c>
      <c r="C46" s="67">
        <f t="shared" si="221"/>
        <v>600</v>
      </c>
      <c r="D46" s="67">
        <f t="shared" si="221"/>
        <v>600</v>
      </c>
      <c r="E46" s="67">
        <f t="shared" si="221"/>
        <v>600</v>
      </c>
      <c r="F46" s="67">
        <f t="shared" si="221"/>
        <v>600</v>
      </c>
      <c r="G46" s="67">
        <f t="shared" si="221"/>
        <v>600</v>
      </c>
      <c r="H46" s="67">
        <f t="shared" si="221"/>
        <v>600</v>
      </c>
      <c r="I46" s="67">
        <f t="shared" si="221"/>
        <v>600</v>
      </c>
      <c r="J46" s="67">
        <f t="shared" si="221"/>
        <v>600</v>
      </c>
      <c r="K46" s="67">
        <f t="shared" si="221"/>
        <v>600</v>
      </c>
      <c r="L46" s="67">
        <f t="shared" si="221"/>
        <v>600</v>
      </c>
      <c r="M46" s="67">
        <f t="shared" si="221"/>
        <v>600</v>
      </c>
      <c r="N46" s="67">
        <f t="shared" si="221"/>
        <v>600</v>
      </c>
      <c r="O46" s="67">
        <f t="shared" si="221"/>
        <v>600</v>
      </c>
      <c r="P46" s="67">
        <f t="shared" si="221"/>
        <v>600</v>
      </c>
      <c r="Q46" s="67">
        <f t="shared" si="221"/>
        <v>600</v>
      </c>
      <c r="R46" s="67">
        <f t="shared" si="221"/>
        <v>600</v>
      </c>
      <c r="S46" s="67">
        <f t="shared" si="221"/>
        <v>600</v>
      </c>
      <c r="T46" s="67">
        <f t="shared" si="221"/>
        <v>600</v>
      </c>
      <c r="U46" s="67">
        <f t="shared" si="221"/>
        <v>600</v>
      </c>
      <c r="V46" s="67">
        <f t="shared" si="221"/>
        <v>600</v>
      </c>
      <c r="W46" s="67">
        <f t="shared" si="221"/>
        <v>600</v>
      </c>
      <c r="X46" s="67">
        <f t="shared" si="221"/>
        <v>600</v>
      </c>
      <c r="Y46" s="67">
        <f t="shared" si="221"/>
        <v>600</v>
      </c>
      <c r="Z46" s="67">
        <f t="shared" si="221"/>
        <v>10000</v>
      </c>
      <c r="AA46" s="67">
        <f t="shared" si="221"/>
        <v>10000</v>
      </c>
      <c r="AB46" s="67">
        <f t="shared" si="221"/>
        <v>10000</v>
      </c>
      <c r="AC46" s="67">
        <f t="shared" si="221"/>
        <v>10000</v>
      </c>
      <c r="AD46" s="67">
        <f t="shared" si="221"/>
        <v>10000</v>
      </c>
      <c r="AE46" s="67">
        <f t="shared" si="221"/>
        <v>10000</v>
      </c>
      <c r="AF46" s="67">
        <f t="shared" si="221"/>
        <v>10000</v>
      </c>
      <c r="AG46" s="67">
        <f t="shared" si="221"/>
        <v>10000</v>
      </c>
      <c r="AH46" s="67">
        <f t="shared" si="221"/>
        <v>10000</v>
      </c>
      <c r="AI46" s="67">
        <f t="shared" si="221"/>
        <v>10000</v>
      </c>
      <c r="AJ46" s="67">
        <f t="shared" si="221"/>
        <v>10000</v>
      </c>
      <c r="AK46" s="67">
        <f t="shared" si="221"/>
        <v>10000</v>
      </c>
      <c r="AL46" s="67">
        <f t="shared" si="221"/>
        <v>11000</v>
      </c>
      <c r="AM46" s="67">
        <f t="shared" si="225"/>
        <v>11000</v>
      </c>
      <c r="AN46" s="67">
        <f t="shared" si="222"/>
        <v>11000</v>
      </c>
      <c r="AO46" s="67">
        <f t="shared" si="222"/>
        <v>11000</v>
      </c>
      <c r="AP46" s="67">
        <f t="shared" si="222"/>
        <v>11000</v>
      </c>
      <c r="AQ46" s="67">
        <f t="shared" si="222"/>
        <v>11000</v>
      </c>
      <c r="AR46" s="67">
        <f t="shared" si="222"/>
        <v>11000</v>
      </c>
      <c r="AS46" s="67">
        <f t="shared" si="222"/>
        <v>11000</v>
      </c>
      <c r="AT46" s="67">
        <f t="shared" si="222"/>
        <v>11000</v>
      </c>
      <c r="AU46" s="67">
        <f t="shared" si="222"/>
        <v>11000</v>
      </c>
      <c r="AV46" s="67">
        <f t="shared" si="222"/>
        <v>11000</v>
      </c>
      <c r="AW46" s="67">
        <f t="shared" si="222"/>
        <v>11000</v>
      </c>
      <c r="AX46" s="67">
        <f t="shared" si="222"/>
        <v>12100.000000000002</v>
      </c>
      <c r="AY46" s="67">
        <f t="shared" si="222"/>
        <v>12100.000000000002</v>
      </c>
      <c r="AZ46" s="67">
        <f t="shared" si="222"/>
        <v>12100.000000000002</v>
      </c>
      <c r="BA46" s="67">
        <f t="shared" si="222"/>
        <v>12100.000000000002</v>
      </c>
      <c r="BB46" s="67">
        <f t="shared" si="222"/>
        <v>12100.000000000002</v>
      </c>
      <c r="BC46" s="67">
        <f t="shared" si="222"/>
        <v>12100.000000000002</v>
      </c>
      <c r="BD46" s="67">
        <f t="shared" si="222"/>
        <v>12100.000000000002</v>
      </c>
      <c r="BE46" s="67">
        <f t="shared" si="222"/>
        <v>12100.000000000002</v>
      </c>
      <c r="BF46" s="67">
        <f t="shared" si="222"/>
        <v>12100.000000000002</v>
      </c>
      <c r="BG46" s="67">
        <f t="shared" si="222"/>
        <v>12100.000000000002</v>
      </c>
      <c r="BH46" s="67">
        <f t="shared" si="222"/>
        <v>12100.000000000002</v>
      </c>
      <c r="BI46" s="122">
        <f t="shared" si="222"/>
        <v>12100.000000000002</v>
      </c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</row>
    <row r="47" spans="1:85">
      <c r="A47" s="36" t="s">
        <v>176</v>
      </c>
      <c r="B47" s="67">
        <f t="shared" si="220"/>
        <v>20000</v>
      </c>
      <c r="C47" s="67">
        <f t="shared" si="221"/>
        <v>20000</v>
      </c>
      <c r="D47" s="67">
        <f t="shared" si="221"/>
        <v>20000</v>
      </c>
      <c r="E47" s="67">
        <f t="shared" si="221"/>
        <v>20000</v>
      </c>
      <c r="F47" s="67">
        <f t="shared" si="221"/>
        <v>20000</v>
      </c>
      <c r="G47" s="67">
        <f t="shared" si="221"/>
        <v>20000</v>
      </c>
      <c r="H47" s="67">
        <f t="shared" si="221"/>
        <v>20000</v>
      </c>
      <c r="I47" s="67">
        <f t="shared" si="221"/>
        <v>20000</v>
      </c>
      <c r="J47" s="67">
        <f t="shared" si="221"/>
        <v>20000</v>
      </c>
      <c r="K47" s="67">
        <f t="shared" si="221"/>
        <v>20000</v>
      </c>
      <c r="L47" s="67">
        <f t="shared" si="221"/>
        <v>20000</v>
      </c>
      <c r="M47" s="67">
        <f t="shared" si="221"/>
        <v>20000</v>
      </c>
      <c r="N47" s="67">
        <f t="shared" si="221"/>
        <v>22000</v>
      </c>
      <c r="O47" s="67">
        <f t="shared" si="221"/>
        <v>22000</v>
      </c>
      <c r="P47" s="67">
        <f t="shared" si="221"/>
        <v>22000</v>
      </c>
      <c r="Q47" s="67">
        <f t="shared" si="221"/>
        <v>22000</v>
      </c>
      <c r="R47" s="67">
        <f t="shared" si="221"/>
        <v>22000</v>
      </c>
      <c r="S47" s="67">
        <f t="shared" si="221"/>
        <v>22000</v>
      </c>
      <c r="T47" s="67">
        <f t="shared" si="221"/>
        <v>22000</v>
      </c>
      <c r="U47" s="67">
        <f t="shared" si="221"/>
        <v>22000</v>
      </c>
      <c r="V47" s="67">
        <f t="shared" si="221"/>
        <v>22000</v>
      </c>
      <c r="W47" s="67">
        <f t="shared" si="221"/>
        <v>22000</v>
      </c>
      <c r="X47" s="67">
        <f t="shared" si="221"/>
        <v>22000</v>
      </c>
      <c r="Y47" s="67">
        <f t="shared" si="221"/>
        <v>22000</v>
      </c>
      <c r="Z47" s="67">
        <f t="shared" si="221"/>
        <v>24200.000000000004</v>
      </c>
      <c r="AA47" s="67">
        <f t="shared" si="221"/>
        <v>24200.000000000004</v>
      </c>
      <c r="AB47" s="67">
        <f t="shared" si="221"/>
        <v>24200.000000000004</v>
      </c>
      <c r="AC47" s="67">
        <f t="shared" si="221"/>
        <v>24200.000000000004</v>
      </c>
      <c r="AD47" s="67">
        <f t="shared" si="221"/>
        <v>24200.000000000004</v>
      </c>
      <c r="AE47" s="67">
        <f t="shared" si="221"/>
        <v>24200.000000000004</v>
      </c>
      <c r="AF47" s="67">
        <f t="shared" si="221"/>
        <v>24200.000000000004</v>
      </c>
      <c r="AG47" s="67">
        <f t="shared" si="221"/>
        <v>24200.000000000004</v>
      </c>
      <c r="AH47" s="67">
        <f t="shared" si="221"/>
        <v>24200.000000000004</v>
      </c>
      <c r="AI47" s="67">
        <f t="shared" si="221"/>
        <v>24200.000000000004</v>
      </c>
      <c r="AJ47" s="67">
        <f t="shared" si="221"/>
        <v>24200.000000000004</v>
      </c>
      <c r="AK47" s="67">
        <f t="shared" si="221"/>
        <v>24200.000000000004</v>
      </c>
      <c r="AL47" s="67">
        <f t="shared" si="221"/>
        <v>26620.000000000007</v>
      </c>
      <c r="AM47" s="67">
        <f t="shared" si="225"/>
        <v>26620.000000000007</v>
      </c>
      <c r="AN47" s="67">
        <f t="shared" si="222"/>
        <v>26620.000000000007</v>
      </c>
      <c r="AO47" s="67">
        <f t="shared" si="222"/>
        <v>26620.000000000007</v>
      </c>
      <c r="AP47" s="67">
        <f t="shared" si="222"/>
        <v>26620.000000000007</v>
      </c>
      <c r="AQ47" s="67">
        <f t="shared" si="222"/>
        <v>26620.000000000007</v>
      </c>
      <c r="AR47" s="67">
        <f t="shared" si="222"/>
        <v>26620.000000000007</v>
      </c>
      <c r="AS47" s="67">
        <f t="shared" si="222"/>
        <v>26620.000000000007</v>
      </c>
      <c r="AT47" s="67">
        <f t="shared" si="222"/>
        <v>26620.000000000007</v>
      </c>
      <c r="AU47" s="67">
        <f t="shared" si="222"/>
        <v>26620.000000000007</v>
      </c>
      <c r="AV47" s="67">
        <f t="shared" si="222"/>
        <v>26620.000000000007</v>
      </c>
      <c r="AW47" s="67">
        <f t="shared" si="222"/>
        <v>26620.000000000007</v>
      </c>
      <c r="AX47" s="67">
        <f t="shared" si="222"/>
        <v>29282.000000000011</v>
      </c>
      <c r="AY47" s="67">
        <f t="shared" si="222"/>
        <v>29282.000000000011</v>
      </c>
      <c r="AZ47" s="67">
        <f t="shared" si="222"/>
        <v>29282.000000000011</v>
      </c>
      <c r="BA47" s="67">
        <f t="shared" si="222"/>
        <v>29282.000000000011</v>
      </c>
      <c r="BB47" s="67">
        <f t="shared" si="222"/>
        <v>29282.000000000011</v>
      </c>
      <c r="BC47" s="67">
        <f t="shared" si="222"/>
        <v>29282.000000000011</v>
      </c>
      <c r="BD47" s="67">
        <f t="shared" si="222"/>
        <v>29282.000000000011</v>
      </c>
      <c r="BE47" s="67">
        <f t="shared" si="222"/>
        <v>29282.000000000011</v>
      </c>
      <c r="BF47" s="67">
        <f t="shared" si="222"/>
        <v>29282.000000000011</v>
      </c>
      <c r="BG47" s="67">
        <f t="shared" si="222"/>
        <v>29282.000000000011</v>
      </c>
      <c r="BH47" s="67">
        <f t="shared" si="222"/>
        <v>29282.000000000011</v>
      </c>
      <c r="BI47" s="122">
        <f t="shared" si="222"/>
        <v>29282.000000000011</v>
      </c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</row>
    <row r="48" spans="1:85">
      <c r="A48" s="36" t="s">
        <v>180</v>
      </c>
      <c r="B48" s="67">
        <f t="shared" si="220"/>
        <v>3000</v>
      </c>
      <c r="C48" s="67">
        <f t="shared" si="221"/>
        <v>3000</v>
      </c>
      <c r="D48" s="67">
        <f t="shared" si="221"/>
        <v>3000</v>
      </c>
      <c r="E48" s="67">
        <f t="shared" si="221"/>
        <v>3000</v>
      </c>
      <c r="F48" s="67">
        <f t="shared" si="221"/>
        <v>3000</v>
      </c>
      <c r="G48" s="67">
        <f t="shared" si="221"/>
        <v>3000</v>
      </c>
      <c r="H48" s="67">
        <f t="shared" si="221"/>
        <v>3000</v>
      </c>
      <c r="I48" s="67">
        <f t="shared" si="221"/>
        <v>3000</v>
      </c>
      <c r="J48" s="67">
        <f t="shared" si="221"/>
        <v>3000</v>
      </c>
      <c r="K48" s="67">
        <f t="shared" si="221"/>
        <v>3000</v>
      </c>
      <c r="L48" s="67">
        <f t="shared" si="221"/>
        <v>3000</v>
      </c>
      <c r="M48" s="67">
        <f t="shared" si="221"/>
        <v>3000</v>
      </c>
      <c r="N48" s="67">
        <f t="shared" si="221"/>
        <v>3300.0000000000005</v>
      </c>
      <c r="O48" s="67">
        <f t="shared" si="221"/>
        <v>3300.0000000000005</v>
      </c>
      <c r="P48" s="67">
        <f t="shared" si="221"/>
        <v>3300.0000000000005</v>
      </c>
      <c r="Q48" s="67">
        <f t="shared" si="221"/>
        <v>3300.0000000000005</v>
      </c>
      <c r="R48" s="67">
        <f t="shared" si="221"/>
        <v>3300.0000000000005</v>
      </c>
      <c r="S48" s="67">
        <f t="shared" si="221"/>
        <v>3300.0000000000005</v>
      </c>
      <c r="T48" s="67">
        <f t="shared" si="221"/>
        <v>3300.0000000000005</v>
      </c>
      <c r="U48" s="67">
        <f t="shared" si="221"/>
        <v>3300.0000000000005</v>
      </c>
      <c r="V48" s="67">
        <f t="shared" si="221"/>
        <v>3300.0000000000005</v>
      </c>
      <c r="W48" s="67">
        <f t="shared" si="221"/>
        <v>3300.0000000000005</v>
      </c>
      <c r="X48" s="67">
        <f t="shared" si="221"/>
        <v>3300.0000000000005</v>
      </c>
      <c r="Y48" s="67">
        <f t="shared" si="221"/>
        <v>3300.0000000000005</v>
      </c>
      <c r="Z48" s="67">
        <f t="shared" si="221"/>
        <v>3630.0000000000009</v>
      </c>
      <c r="AA48" s="67">
        <f t="shared" si="221"/>
        <v>3630.0000000000009</v>
      </c>
      <c r="AB48" s="67">
        <f t="shared" si="221"/>
        <v>3630.0000000000009</v>
      </c>
      <c r="AC48" s="67">
        <f t="shared" si="221"/>
        <v>3630.0000000000009</v>
      </c>
      <c r="AD48" s="67">
        <f t="shared" si="221"/>
        <v>3630.0000000000009</v>
      </c>
      <c r="AE48" s="67">
        <f t="shared" si="221"/>
        <v>3630.0000000000009</v>
      </c>
      <c r="AF48" s="67">
        <f t="shared" si="221"/>
        <v>3630.0000000000009</v>
      </c>
      <c r="AG48" s="67">
        <f t="shared" si="221"/>
        <v>3630.0000000000009</v>
      </c>
      <c r="AH48" s="67">
        <f t="shared" si="221"/>
        <v>3630.0000000000009</v>
      </c>
      <c r="AI48" s="67">
        <f t="shared" si="221"/>
        <v>3630.0000000000009</v>
      </c>
      <c r="AJ48" s="67">
        <f t="shared" si="221"/>
        <v>3630.0000000000009</v>
      </c>
      <c r="AK48" s="67">
        <f t="shared" si="221"/>
        <v>3630.0000000000009</v>
      </c>
      <c r="AL48" s="67">
        <f t="shared" si="221"/>
        <v>3993.0000000000014</v>
      </c>
      <c r="AM48" s="67">
        <f t="shared" si="225"/>
        <v>3993.0000000000014</v>
      </c>
      <c r="AN48" s="67">
        <f t="shared" si="222"/>
        <v>3993.0000000000014</v>
      </c>
      <c r="AO48" s="67">
        <f t="shared" si="222"/>
        <v>3993.0000000000014</v>
      </c>
      <c r="AP48" s="67">
        <f t="shared" si="222"/>
        <v>3993.0000000000014</v>
      </c>
      <c r="AQ48" s="67">
        <f t="shared" si="222"/>
        <v>3993.0000000000014</v>
      </c>
      <c r="AR48" s="67">
        <f t="shared" si="222"/>
        <v>3993.0000000000014</v>
      </c>
      <c r="AS48" s="67">
        <f t="shared" si="222"/>
        <v>3993.0000000000014</v>
      </c>
      <c r="AT48" s="67">
        <f t="shared" si="222"/>
        <v>3993.0000000000014</v>
      </c>
      <c r="AU48" s="67">
        <f t="shared" si="222"/>
        <v>3993.0000000000014</v>
      </c>
      <c r="AV48" s="67">
        <f t="shared" si="222"/>
        <v>3993.0000000000014</v>
      </c>
      <c r="AW48" s="67">
        <f t="shared" si="222"/>
        <v>3993.0000000000014</v>
      </c>
      <c r="AX48" s="67">
        <f t="shared" si="222"/>
        <v>4392.300000000002</v>
      </c>
      <c r="AY48" s="67">
        <f t="shared" si="222"/>
        <v>4392.300000000002</v>
      </c>
      <c r="AZ48" s="67">
        <f t="shared" si="222"/>
        <v>4392.300000000002</v>
      </c>
      <c r="BA48" s="67">
        <f t="shared" si="222"/>
        <v>4392.300000000002</v>
      </c>
      <c r="BB48" s="67">
        <f t="shared" si="222"/>
        <v>4392.300000000002</v>
      </c>
      <c r="BC48" s="67">
        <f t="shared" si="222"/>
        <v>4392.300000000002</v>
      </c>
      <c r="BD48" s="67">
        <f t="shared" si="222"/>
        <v>4392.300000000002</v>
      </c>
      <c r="BE48" s="67">
        <f t="shared" si="222"/>
        <v>4392.300000000002</v>
      </c>
      <c r="BF48" s="67">
        <f t="shared" si="222"/>
        <v>4392.300000000002</v>
      </c>
      <c r="BG48" s="67">
        <f t="shared" si="222"/>
        <v>4392.300000000002</v>
      </c>
      <c r="BH48" s="67">
        <f t="shared" si="222"/>
        <v>4392.300000000002</v>
      </c>
      <c r="BI48" s="122">
        <f t="shared" si="222"/>
        <v>4392.300000000002</v>
      </c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</row>
    <row r="49" spans="1:102">
      <c r="A49" s="36" t="s">
        <v>99</v>
      </c>
      <c r="B49" s="67">
        <f t="shared" si="220"/>
        <v>0</v>
      </c>
      <c r="C49" s="67">
        <f t="shared" si="221"/>
        <v>0</v>
      </c>
      <c r="D49" s="67">
        <f t="shared" si="221"/>
        <v>0</v>
      </c>
      <c r="E49" s="67">
        <f t="shared" si="221"/>
        <v>0</v>
      </c>
      <c r="F49" s="67">
        <f t="shared" si="221"/>
        <v>0</v>
      </c>
      <c r="G49" s="67">
        <f t="shared" si="221"/>
        <v>0</v>
      </c>
      <c r="H49" s="67">
        <f t="shared" si="221"/>
        <v>0</v>
      </c>
      <c r="I49" s="67">
        <f t="shared" si="221"/>
        <v>0</v>
      </c>
      <c r="J49" s="67">
        <f t="shared" si="221"/>
        <v>0</v>
      </c>
      <c r="K49" s="67">
        <f t="shared" si="221"/>
        <v>0</v>
      </c>
      <c r="L49" s="67">
        <f t="shared" si="221"/>
        <v>0</v>
      </c>
      <c r="M49" s="67">
        <f t="shared" si="221"/>
        <v>0</v>
      </c>
      <c r="N49" s="67">
        <f t="shared" si="221"/>
        <v>0</v>
      </c>
      <c r="O49" s="67">
        <f t="shared" si="221"/>
        <v>0</v>
      </c>
      <c r="P49" s="67">
        <f t="shared" si="221"/>
        <v>0</v>
      </c>
      <c r="Q49" s="67">
        <f t="shared" si="221"/>
        <v>0</v>
      </c>
      <c r="R49" s="67">
        <f t="shared" si="221"/>
        <v>0</v>
      </c>
      <c r="S49" s="67">
        <f t="shared" si="221"/>
        <v>0</v>
      </c>
      <c r="T49" s="67">
        <f t="shared" si="221"/>
        <v>0</v>
      </c>
      <c r="U49" s="67">
        <f t="shared" si="221"/>
        <v>0</v>
      </c>
      <c r="V49" s="67">
        <f t="shared" si="221"/>
        <v>0</v>
      </c>
      <c r="W49" s="67">
        <f t="shared" si="221"/>
        <v>0</v>
      </c>
      <c r="X49" s="67">
        <f t="shared" si="221"/>
        <v>0</v>
      </c>
      <c r="Y49" s="67">
        <f t="shared" si="221"/>
        <v>0</v>
      </c>
      <c r="Z49" s="67">
        <f t="shared" si="221"/>
        <v>1815.0000000000005</v>
      </c>
      <c r="AA49" s="67">
        <f t="shared" si="221"/>
        <v>1815.0000000000005</v>
      </c>
      <c r="AB49" s="67">
        <f t="shared" si="221"/>
        <v>1815.0000000000005</v>
      </c>
      <c r="AC49" s="67">
        <f t="shared" si="221"/>
        <v>1815.0000000000005</v>
      </c>
      <c r="AD49" s="67">
        <f t="shared" si="221"/>
        <v>1815.0000000000005</v>
      </c>
      <c r="AE49" s="67">
        <f t="shared" si="221"/>
        <v>1815.0000000000005</v>
      </c>
      <c r="AF49" s="67">
        <f t="shared" si="221"/>
        <v>1815.0000000000005</v>
      </c>
      <c r="AG49" s="67">
        <f t="shared" si="221"/>
        <v>1815.0000000000005</v>
      </c>
      <c r="AH49" s="67">
        <f t="shared" si="221"/>
        <v>1815.0000000000005</v>
      </c>
      <c r="AI49" s="67">
        <f t="shared" si="221"/>
        <v>1815.0000000000005</v>
      </c>
      <c r="AJ49" s="67">
        <f t="shared" si="221"/>
        <v>1815.0000000000005</v>
      </c>
      <c r="AK49" s="67">
        <f t="shared" si="221"/>
        <v>1815.0000000000005</v>
      </c>
      <c r="AL49" s="67">
        <f t="shared" si="221"/>
        <v>1996.5000000000007</v>
      </c>
      <c r="AM49" s="67">
        <f t="shared" si="225"/>
        <v>1996.5000000000007</v>
      </c>
      <c r="AN49" s="67">
        <f t="shared" si="222"/>
        <v>1996.5000000000007</v>
      </c>
      <c r="AO49" s="67">
        <f t="shared" si="222"/>
        <v>1996.5000000000007</v>
      </c>
      <c r="AP49" s="67">
        <f t="shared" si="222"/>
        <v>1996.5000000000007</v>
      </c>
      <c r="AQ49" s="67">
        <f t="shared" si="222"/>
        <v>1996.5000000000007</v>
      </c>
      <c r="AR49" s="67">
        <f t="shared" si="222"/>
        <v>1996.5000000000007</v>
      </c>
      <c r="AS49" s="67">
        <f t="shared" si="222"/>
        <v>1996.5000000000007</v>
      </c>
      <c r="AT49" s="67">
        <f t="shared" si="222"/>
        <v>1996.5000000000007</v>
      </c>
      <c r="AU49" s="67">
        <f t="shared" si="222"/>
        <v>1996.5000000000007</v>
      </c>
      <c r="AV49" s="67">
        <f t="shared" si="222"/>
        <v>1996.5000000000007</v>
      </c>
      <c r="AW49" s="67">
        <f t="shared" si="222"/>
        <v>1996.5000000000007</v>
      </c>
      <c r="AX49" s="67">
        <f t="shared" si="222"/>
        <v>2196.150000000001</v>
      </c>
      <c r="AY49" s="67">
        <f t="shared" si="222"/>
        <v>2196.150000000001</v>
      </c>
      <c r="AZ49" s="67">
        <f t="shared" si="222"/>
        <v>2196.150000000001</v>
      </c>
      <c r="BA49" s="67">
        <f t="shared" si="222"/>
        <v>2196.150000000001</v>
      </c>
      <c r="BB49" s="67">
        <f t="shared" si="222"/>
        <v>2196.150000000001</v>
      </c>
      <c r="BC49" s="67">
        <f t="shared" si="222"/>
        <v>2196.150000000001</v>
      </c>
      <c r="BD49" s="67">
        <f t="shared" si="222"/>
        <v>2196.150000000001</v>
      </c>
      <c r="BE49" s="67">
        <f t="shared" si="222"/>
        <v>2196.150000000001</v>
      </c>
      <c r="BF49" s="67">
        <f t="shared" si="222"/>
        <v>2196.150000000001</v>
      </c>
      <c r="BG49" s="67">
        <f t="shared" si="222"/>
        <v>2196.150000000001</v>
      </c>
      <c r="BH49" s="67">
        <f t="shared" si="222"/>
        <v>2196.150000000001</v>
      </c>
      <c r="BI49" s="122">
        <f t="shared" si="222"/>
        <v>2196.150000000001</v>
      </c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</row>
    <row r="50" spans="1:102">
      <c r="A50" s="34" t="s">
        <v>173</v>
      </c>
      <c r="B50" s="67">
        <f t="shared" si="220"/>
        <v>0</v>
      </c>
      <c r="C50" s="67">
        <f t="shared" si="221"/>
        <v>0</v>
      </c>
      <c r="D50" s="67">
        <f t="shared" si="221"/>
        <v>0</v>
      </c>
      <c r="E50" s="67">
        <f t="shared" si="221"/>
        <v>0</v>
      </c>
      <c r="F50" s="67">
        <f t="shared" si="221"/>
        <v>0</v>
      </c>
      <c r="G50" s="67">
        <f t="shared" si="221"/>
        <v>0</v>
      </c>
      <c r="H50" s="67">
        <f t="shared" si="221"/>
        <v>0</v>
      </c>
      <c r="I50" s="67">
        <f t="shared" si="221"/>
        <v>0</v>
      </c>
      <c r="J50" s="67">
        <f t="shared" si="221"/>
        <v>0</v>
      </c>
      <c r="K50" s="67">
        <f t="shared" si="221"/>
        <v>0</v>
      </c>
      <c r="L50" s="67">
        <f t="shared" si="221"/>
        <v>0</v>
      </c>
      <c r="M50" s="67">
        <f t="shared" si="221"/>
        <v>0</v>
      </c>
      <c r="N50" s="67">
        <f t="shared" si="221"/>
        <v>0</v>
      </c>
      <c r="O50" s="67">
        <f t="shared" si="221"/>
        <v>0</v>
      </c>
      <c r="P50" s="67">
        <f t="shared" si="221"/>
        <v>0</v>
      </c>
      <c r="Q50" s="67">
        <f t="shared" si="221"/>
        <v>0</v>
      </c>
      <c r="R50" s="67">
        <f t="shared" si="221"/>
        <v>0</v>
      </c>
      <c r="S50" s="67">
        <f t="shared" si="221"/>
        <v>0</v>
      </c>
      <c r="T50" s="67">
        <f t="shared" si="221"/>
        <v>0</v>
      </c>
      <c r="U50" s="67">
        <f t="shared" ref="C50:AL57" si="226">U32*U15</f>
        <v>0</v>
      </c>
      <c r="V50" s="67">
        <f t="shared" si="226"/>
        <v>0</v>
      </c>
      <c r="W50" s="67">
        <f t="shared" si="226"/>
        <v>0</v>
      </c>
      <c r="X50" s="67">
        <f t="shared" si="226"/>
        <v>0</v>
      </c>
      <c r="Y50" s="67">
        <f t="shared" si="226"/>
        <v>0</v>
      </c>
      <c r="Z50" s="67">
        <f t="shared" si="226"/>
        <v>0</v>
      </c>
      <c r="AA50" s="67">
        <f t="shared" si="226"/>
        <v>0</v>
      </c>
      <c r="AB50" s="67">
        <f t="shared" si="226"/>
        <v>0</v>
      </c>
      <c r="AC50" s="67">
        <f t="shared" si="226"/>
        <v>0</v>
      </c>
      <c r="AD50" s="67">
        <f t="shared" si="226"/>
        <v>0</v>
      </c>
      <c r="AE50" s="67">
        <f t="shared" si="226"/>
        <v>0</v>
      </c>
      <c r="AF50" s="67">
        <f t="shared" si="226"/>
        <v>0</v>
      </c>
      <c r="AG50" s="67">
        <f t="shared" si="226"/>
        <v>0</v>
      </c>
      <c r="AH50" s="67">
        <f t="shared" si="226"/>
        <v>0</v>
      </c>
      <c r="AI50" s="67">
        <f t="shared" si="226"/>
        <v>0</v>
      </c>
      <c r="AJ50" s="67">
        <f t="shared" si="226"/>
        <v>0</v>
      </c>
      <c r="AK50" s="67">
        <f t="shared" si="226"/>
        <v>0</v>
      </c>
      <c r="AL50" s="67">
        <f t="shared" si="226"/>
        <v>0</v>
      </c>
      <c r="AM50" s="67">
        <f t="shared" si="225"/>
        <v>0</v>
      </c>
      <c r="AN50" s="67">
        <f t="shared" si="222"/>
        <v>0</v>
      </c>
      <c r="AO50" s="67">
        <f t="shared" si="222"/>
        <v>0</v>
      </c>
      <c r="AP50" s="67">
        <f t="shared" si="222"/>
        <v>0</v>
      </c>
      <c r="AQ50" s="67">
        <f t="shared" si="222"/>
        <v>0</v>
      </c>
      <c r="AR50" s="67">
        <f t="shared" si="222"/>
        <v>0</v>
      </c>
      <c r="AS50" s="67">
        <f t="shared" si="222"/>
        <v>0</v>
      </c>
      <c r="AT50" s="67">
        <f t="shared" si="222"/>
        <v>0</v>
      </c>
      <c r="AU50" s="67">
        <f t="shared" si="222"/>
        <v>0</v>
      </c>
      <c r="AV50" s="67">
        <f t="shared" si="222"/>
        <v>0</v>
      </c>
      <c r="AW50" s="67">
        <f t="shared" si="222"/>
        <v>0</v>
      </c>
      <c r="AX50" s="67">
        <f t="shared" si="222"/>
        <v>0</v>
      </c>
      <c r="AY50" s="67">
        <f t="shared" si="222"/>
        <v>0</v>
      </c>
      <c r="AZ50" s="67">
        <f t="shared" si="222"/>
        <v>0</v>
      </c>
      <c r="BA50" s="67">
        <f t="shared" si="222"/>
        <v>0</v>
      </c>
      <c r="BB50" s="67">
        <f t="shared" si="222"/>
        <v>0</v>
      </c>
      <c r="BC50" s="67">
        <f t="shared" si="222"/>
        <v>0</v>
      </c>
      <c r="BD50" s="67">
        <f t="shared" si="222"/>
        <v>0</v>
      </c>
      <c r="BE50" s="67">
        <f t="shared" si="222"/>
        <v>0</v>
      </c>
      <c r="BF50" s="67">
        <f t="shared" si="222"/>
        <v>0</v>
      </c>
      <c r="BG50" s="67">
        <f t="shared" si="222"/>
        <v>0</v>
      </c>
      <c r="BH50" s="67">
        <f t="shared" si="222"/>
        <v>0</v>
      </c>
      <c r="BI50" s="122">
        <f t="shared" si="222"/>
        <v>0</v>
      </c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</row>
    <row r="51" spans="1:102">
      <c r="A51" s="36" t="s">
        <v>178</v>
      </c>
      <c r="B51" s="67">
        <f t="shared" si="220"/>
        <v>20000</v>
      </c>
      <c r="C51" s="67">
        <f t="shared" si="226"/>
        <v>20000</v>
      </c>
      <c r="D51" s="67">
        <f t="shared" si="226"/>
        <v>20000</v>
      </c>
      <c r="E51" s="67">
        <f t="shared" si="226"/>
        <v>20000</v>
      </c>
      <c r="F51" s="67">
        <f t="shared" si="226"/>
        <v>20000</v>
      </c>
      <c r="G51" s="67">
        <f t="shared" si="226"/>
        <v>20000</v>
      </c>
      <c r="H51" s="67">
        <f t="shared" si="226"/>
        <v>20000</v>
      </c>
      <c r="I51" s="67">
        <f t="shared" si="226"/>
        <v>20000</v>
      </c>
      <c r="J51" s="67">
        <f t="shared" si="226"/>
        <v>20000</v>
      </c>
      <c r="K51" s="67">
        <f t="shared" si="226"/>
        <v>20000</v>
      </c>
      <c r="L51" s="67">
        <f t="shared" si="226"/>
        <v>20000</v>
      </c>
      <c r="M51" s="67">
        <f t="shared" si="226"/>
        <v>20000</v>
      </c>
      <c r="N51" s="67">
        <f t="shared" si="226"/>
        <v>22000</v>
      </c>
      <c r="O51" s="67">
        <f t="shared" si="226"/>
        <v>22000</v>
      </c>
      <c r="P51" s="67">
        <f t="shared" si="226"/>
        <v>22000</v>
      </c>
      <c r="Q51" s="67">
        <f t="shared" si="226"/>
        <v>22000</v>
      </c>
      <c r="R51" s="67">
        <f t="shared" si="226"/>
        <v>22000</v>
      </c>
      <c r="S51" s="67">
        <f t="shared" si="226"/>
        <v>22000</v>
      </c>
      <c r="T51" s="67">
        <f t="shared" si="226"/>
        <v>22000</v>
      </c>
      <c r="U51" s="67">
        <f t="shared" si="226"/>
        <v>22000</v>
      </c>
      <c r="V51" s="67">
        <f t="shared" si="226"/>
        <v>22000</v>
      </c>
      <c r="W51" s="67">
        <f t="shared" si="226"/>
        <v>22000</v>
      </c>
      <c r="X51" s="67">
        <f t="shared" si="226"/>
        <v>22000</v>
      </c>
      <c r="Y51" s="67">
        <f t="shared" si="226"/>
        <v>22000</v>
      </c>
      <c r="Z51" s="67">
        <f t="shared" si="226"/>
        <v>24200.000000000004</v>
      </c>
      <c r="AA51" s="67">
        <f t="shared" si="226"/>
        <v>24200.000000000004</v>
      </c>
      <c r="AB51" s="67">
        <f t="shared" si="226"/>
        <v>24200.000000000004</v>
      </c>
      <c r="AC51" s="67">
        <f t="shared" si="226"/>
        <v>24200.000000000004</v>
      </c>
      <c r="AD51" s="67">
        <f t="shared" si="226"/>
        <v>24200.000000000004</v>
      </c>
      <c r="AE51" s="67">
        <f t="shared" si="226"/>
        <v>24200.000000000004</v>
      </c>
      <c r="AF51" s="67">
        <f t="shared" si="226"/>
        <v>24200.000000000004</v>
      </c>
      <c r="AG51" s="67">
        <f t="shared" si="226"/>
        <v>24200.000000000004</v>
      </c>
      <c r="AH51" s="67">
        <f t="shared" si="226"/>
        <v>24200.000000000004</v>
      </c>
      <c r="AI51" s="67">
        <f t="shared" si="226"/>
        <v>24200.000000000004</v>
      </c>
      <c r="AJ51" s="67">
        <f t="shared" si="226"/>
        <v>24200.000000000004</v>
      </c>
      <c r="AK51" s="67">
        <f t="shared" si="226"/>
        <v>24200.000000000004</v>
      </c>
      <c r="AL51" s="67">
        <f t="shared" si="226"/>
        <v>26620.000000000007</v>
      </c>
      <c r="AM51" s="67">
        <f t="shared" si="225"/>
        <v>26620.000000000007</v>
      </c>
      <c r="AN51" s="67">
        <f t="shared" si="222"/>
        <v>26620.000000000007</v>
      </c>
      <c r="AO51" s="67">
        <f t="shared" si="222"/>
        <v>26620.000000000007</v>
      </c>
      <c r="AP51" s="67">
        <f t="shared" si="222"/>
        <v>26620.000000000007</v>
      </c>
      <c r="AQ51" s="67">
        <f t="shared" si="222"/>
        <v>26620.000000000007</v>
      </c>
      <c r="AR51" s="67">
        <f t="shared" si="222"/>
        <v>26620.000000000007</v>
      </c>
      <c r="AS51" s="67">
        <f t="shared" si="222"/>
        <v>26620.000000000007</v>
      </c>
      <c r="AT51" s="67">
        <f t="shared" si="222"/>
        <v>26620.000000000007</v>
      </c>
      <c r="AU51" s="67">
        <f t="shared" si="222"/>
        <v>26620.000000000007</v>
      </c>
      <c r="AV51" s="67">
        <f t="shared" si="222"/>
        <v>26620.000000000007</v>
      </c>
      <c r="AW51" s="67">
        <f t="shared" si="222"/>
        <v>26620.000000000007</v>
      </c>
      <c r="AX51" s="67">
        <f t="shared" si="222"/>
        <v>29282.000000000011</v>
      </c>
      <c r="AY51" s="67">
        <f t="shared" si="222"/>
        <v>29282.000000000011</v>
      </c>
      <c r="AZ51" s="67">
        <f t="shared" si="222"/>
        <v>29282.000000000011</v>
      </c>
      <c r="BA51" s="67">
        <f t="shared" si="222"/>
        <v>29282.000000000011</v>
      </c>
      <c r="BB51" s="67">
        <f t="shared" si="222"/>
        <v>29282.000000000011</v>
      </c>
      <c r="BC51" s="67">
        <f t="shared" si="222"/>
        <v>29282.000000000011</v>
      </c>
      <c r="BD51" s="67">
        <f t="shared" si="222"/>
        <v>29282.000000000011</v>
      </c>
      <c r="BE51" s="67">
        <f t="shared" si="222"/>
        <v>29282.000000000011</v>
      </c>
      <c r="BF51" s="67">
        <f t="shared" si="222"/>
        <v>29282.000000000011</v>
      </c>
      <c r="BG51" s="67">
        <f t="shared" si="222"/>
        <v>29282.000000000011</v>
      </c>
      <c r="BH51" s="67">
        <f t="shared" si="222"/>
        <v>29282.000000000011</v>
      </c>
      <c r="BI51" s="122">
        <f t="shared" si="222"/>
        <v>29282.000000000011</v>
      </c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</row>
    <row r="52" spans="1:102">
      <c r="A52" s="36" t="s">
        <v>181</v>
      </c>
      <c r="B52" s="67">
        <f t="shared" si="220"/>
        <v>14000</v>
      </c>
      <c r="C52" s="67">
        <f t="shared" si="226"/>
        <v>14000</v>
      </c>
      <c r="D52" s="67">
        <f t="shared" si="226"/>
        <v>14000</v>
      </c>
      <c r="E52" s="67">
        <f t="shared" si="226"/>
        <v>14000</v>
      </c>
      <c r="F52" s="67">
        <f t="shared" si="226"/>
        <v>14000</v>
      </c>
      <c r="G52" s="67">
        <f t="shared" si="226"/>
        <v>14000</v>
      </c>
      <c r="H52" s="67">
        <f t="shared" si="226"/>
        <v>14000</v>
      </c>
      <c r="I52" s="67">
        <f t="shared" si="226"/>
        <v>14000</v>
      </c>
      <c r="J52" s="67">
        <f t="shared" si="226"/>
        <v>14000</v>
      </c>
      <c r="K52" s="67">
        <f t="shared" si="226"/>
        <v>14000</v>
      </c>
      <c r="L52" s="67">
        <f t="shared" si="226"/>
        <v>14000</v>
      </c>
      <c r="M52" s="67">
        <f t="shared" si="226"/>
        <v>14000</v>
      </c>
      <c r="N52" s="67">
        <f t="shared" si="226"/>
        <v>15400.000000000002</v>
      </c>
      <c r="O52" s="67">
        <f t="shared" si="226"/>
        <v>15400.000000000002</v>
      </c>
      <c r="P52" s="67">
        <f t="shared" si="226"/>
        <v>15400.000000000002</v>
      </c>
      <c r="Q52" s="67">
        <f t="shared" si="226"/>
        <v>15400.000000000002</v>
      </c>
      <c r="R52" s="67">
        <f t="shared" si="226"/>
        <v>15400.000000000002</v>
      </c>
      <c r="S52" s="67">
        <f t="shared" si="226"/>
        <v>15400.000000000002</v>
      </c>
      <c r="T52" s="67">
        <f t="shared" si="226"/>
        <v>15400.000000000002</v>
      </c>
      <c r="U52" s="67">
        <f t="shared" si="226"/>
        <v>15400.000000000002</v>
      </c>
      <c r="V52" s="67">
        <f t="shared" si="226"/>
        <v>15400.000000000002</v>
      </c>
      <c r="W52" s="67">
        <f t="shared" si="226"/>
        <v>15400.000000000002</v>
      </c>
      <c r="X52" s="67">
        <f t="shared" si="226"/>
        <v>15400.000000000002</v>
      </c>
      <c r="Y52" s="67">
        <f t="shared" si="226"/>
        <v>15400.000000000002</v>
      </c>
      <c r="Z52" s="67">
        <f t="shared" si="226"/>
        <v>16940.000000000004</v>
      </c>
      <c r="AA52" s="67">
        <f t="shared" si="226"/>
        <v>16940.000000000004</v>
      </c>
      <c r="AB52" s="67">
        <f t="shared" si="226"/>
        <v>16940.000000000004</v>
      </c>
      <c r="AC52" s="67">
        <f t="shared" si="226"/>
        <v>16940.000000000004</v>
      </c>
      <c r="AD52" s="67">
        <f t="shared" si="226"/>
        <v>16940.000000000004</v>
      </c>
      <c r="AE52" s="67">
        <f t="shared" si="226"/>
        <v>16940.000000000004</v>
      </c>
      <c r="AF52" s="67">
        <f t="shared" si="226"/>
        <v>16940.000000000004</v>
      </c>
      <c r="AG52" s="67">
        <f t="shared" si="226"/>
        <v>16940.000000000004</v>
      </c>
      <c r="AH52" s="67">
        <f t="shared" si="226"/>
        <v>16940.000000000004</v>
      </c>
      <c r="AI52" s="67">
        <f t="shared" si="226"/>
        <v>16940.000000000004</v>
      </c>
      <c r="AJ52" s="67">
        <f t="shared" si="226"/>
        <v>16940.000000000004</v>
      </c>
      <c r="AK52" s="67">
        <f t="shared" si="226"/>
        <v>16940.000000000004</v>
      </c>
      <c r="AL52" s="67">
        <f t="shared" si="226"/>
        <v>18634.000000000007</v>
      </c>
      <c r="AM52" s="67">
        <f t="shared" si="225"/>
        <v>18634.000000000007</v>
      </c>
      <c r="AN52" s="67">
        <f t="shared" si="222"/>
        <v>18634.000000000007</v>
      </c>
      <c r="AO52" s="67">
        <f t="shared" si="222"/>
        <v>18634.000000000007</v>
      </c>
      <c r="AP52" s="67">
        <f t="shared" si="222"/>
        <v>18634.000000000007</v>
      </c>
      <c r="AQ52" s="67">
        <f t="shared" si="222"/>
        <v>18634.000000000007</v>
      </c>
      <c r="AR52" s="67">
        <f t="shared" si="222"/>
        <v>18634.000000000007</v>
      </c>
      <c r="AS52" s="67">
        <f t="shared" si="222"/>
        <v>18634.000000000007</v>
      </c>
      <c r="AT52" s="67">
        <f t="shared" si="222"/>
        <v>18634.000000000007</v>
      </c>
      <c r="AU52" s="67">
        <f t="shared" si="222"/>
        <v>18634.000000000007</v>
      </c>
      <c r="AV52" s="67">
        <f t="shared" si="222"/>
        <v>18634.000000000007</v>
      </c>
      <c r="AW52" s="67">
        <f t="shared" si="222"/>
        <v>18634.000000000007</v>
      </c>
      <c r="AX52" s="67">
        <f t="shared" si="222"/>
        <v>20497.400000000009</v>
      </c>
      <c r="AY52" s="67">
        <f t="shared" si="222"/>
        <v>20497.400000000009</v>
      </c>
      <c r="AZ52" s="67">
        <f t="shared" si="222"/>
        <v>20497.400000000009</v>
      </c>
      <c r="BA52" s="67">
        <f t="shared" si="222"/>
        <v>20497.400000000009</v>
      </c>
      <c r="BB52" s="67">
        <f t="shared" si="222"/>
        <v>20497.400000000009</v>
      </c>
      <c r="BC52" s="67">
        <f t="shared" si="222"/>
        <v>20497.400000000009</v>
      </c>
      <c r="BD52" s="67">
        <f t="shared" si="222"/>
        <v>20497.400000000009</v>
      </c>
      <c r="BE52" s="67">
        <f t="shared" si="222"/>
        <v>20497.400000000009</v>
      </c>
      <c r="BF52" s="67">
        <f t="shared" si="222"/>
        <v>20497.400000000009</v>
      </c>
      <c r="BG52" s="67">
        <f t="shared" si="222"/>
        <v>20497.400000000009</v>
      </c>
      <c r="BH52" s="67">
        <f t="shared" si="222"/>
        <v>20497.400000000009</v>
      </c>
      <c r="BI52" s="122">
        <f t="shared" si="222"/>
        <v>20497.400000000009</v>
      </c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</row>
    <row r="53" spans="1:102">
      <c r="A53" s="36" t="s">
        <v>72</v>
      </c>
      <c r="B53" s="67">
        <f t="shared" si="220"/>
        <v>6000</v>
      </c>
      <c r="C53" s="67">
        <f t="shared" si="226"/>
        <v>6000</v>
      </c>
      <c r="D53" s="67">
        <f t="shared" si="226"/>
        <v>6000</v>
      </c>
      <c r="E53" s="67">
        <f t="shared" si="226"/>
        <v>6000</v>
      </c>
      <c r="F53" s="67">
        <f t="shared" si="226"/>
        <v>6000</v>
      </c>
      <c r="G53" s="67">
        <f t="shared" si="226"/>
        <v>6000</v>
      </c>
      <c r="H53" s="67">
        <f t="shared" si="226"/>
        <v>6000</v>
      </c>
      <c r="I53" s="67">
        <f t="shared" si="226"/>
        <v>6000</v>
      </c>
      <c r="J53" s="67">
        <f t="shared" si="226"/>
        <v>6000</v>
      </c>
      <c r="K53" s="67">
        <f t="shared" si="226"/>
        <v>6000</v>
      </c>
      <c r="L53" s="67">
        <f t="shared" si="226"/>
        <v>6000</v>
      </c>
      <c r="M53" s="67">
        <f t="shared" si="226"/>
        <v>6000</v>
      </c>
      <c r="N53" s="67">
        <f t="shared" si="226"/>
        <v>6600.0000000000009</v>
      </c>
      <c r="O53" s="67">
        <f t="shared" si="226"/>
        <v>6600.0000000000009</v>
      </c>
      <c r="P53" s="67">
        <f t="shared" si="226"/>
        <v>6600.0000000000009</v>
      </c>
      <c r="Q53" s="67">
        <f t="shared" si="226"/>
        <v>6600.0000000000009</v>
      </c>
      <c r="R53" s="67">
        <f t="shared" si="226"/>
        <v>6600.0000000000009</v>
      </c>
      <c r="S53" s="67">
        <f t="shared" si="226"/>
        <v>6600.0000000000009</v>
      </c>
      <c r="T53" s="67">
        <f t="shared" si="226"/>
        <v>6600.0000000000009</v>
      </c>
      <c r="U53" s="67">
        <f t="shared" si="226"/>
        <v>6600.0000000000009</v>
      </c>
      <c r="V53" s="67">
        <f t="shared" si="226"/>
        <v>6600.0000000000009</v>
      </c>
      <c r="W53" s="67">
        <f t="shared" si="226"/>
        <v>6600.0000000000009</v>
      </c>
      <c r="X53" s="67">
        <f t="shared" si="226"/>
        <v>6600.0000000000009</v>
      </c>
      <c r="Y53" s="67">
        <f t="shared" si="226"/>
        <v>6600.0000000000009</v>
      </c>
      <c r="Z53" s="67">
        <f t="shared" si="226"/>
        <v>7260.0000000000018</v>
      </c>
      <c r="AA53" s="67">
        <f t="shared" si="226"/>
        <v>7260.0000000000018</v>
      </c>
      <c r="AB53" s="67">
        <f t="shared" si="226"/>
        <v>7260.0000000000018</v>
      </c>
      <c r="AC53" s="67">
        <f t="shared" si="226"/>
        <v>7260.0000000000018</v>
      </c>
      <c r="AD53" s="67">
        <f t="shared" si="226"/>
        <v>7260.0000000000018</v>
      </c>
      <c r="AE53" s="67">
        <f t="shared" si="226"/>
        <v>7260.0000000000018</v>
      </c>
      <c r="AF53" s="67">
        <f t="shared" si="226"/>
        <v>7260.0000000000018</v>
      </c>
      <c r="AG53" s="67">
        <f t="shared" si="226"/>
        <v>7260.0000000000018</v>
      </c>
      <c r="AH53" s="67">
        <f t="shared" si="226"/>
        <v>7260.0000000000018</v>
      </c>
      <c r="AI53" s="67">
        <f t="shared" si="226"/>
        <v>7260.0000000000018</v>
      </c>
      <c r="AJ53" s="67">
        <f t="shared" si="226"/>
        <v>7260.0000000000018</v>
      </c>
      <c r="AK53" s="67">
        <f t="shared" si="226"/>
        <v>7260.0000000000018</v>
      </c>
      <c r="AL53" s="67">
        <f t="shared" si="226"/>
        <v>11979.000000000004</v>
      </c>
      <c r="AM53" s="67">
        <f t="shared" si="225"/>
        <v>11979.000000000004</v>
      </c>
      <c r="AN53" s="67">
        <f t="shared" si="222"/>
        <v>11979.000000000004</v>
      </c>
      <c r="AO53" s="67">
        <f t="shared" si="222"/>
        <v>11979.000000000004</v>
      </c>
      <c r="AP53" s="67">
        <f t="shared" si="222"/>
        <v>11979.000000000004</v>
      </c>
      <c r="AQ53" s="67">
        <f t="shared" si="222"/>
        <v>11979.000000000004</v>
      </c>
      <c r="AR53" s="67">
        <f t="shared" si="222"/>
        <v>11979.000000000004</v>
      </c>
      <c r="AS53" s="67">
        <f t="shared" si="222"/>
        <v>11979.000000000004</v>
      </c>
      <c r="AT53" s="67">
        <f t="shared" si="222"/>
        <v>11979.000000000004</v>
      </c>
      <c r="AU53" s="67">
        <f t="shared" si="222"/>
        <v>11979.000000000004</v>
      </c>
      <c r="AV53" s="67">
        <f t="shared" si="222"/>
        <v>11979.000000000004</v>
      </c>
      <c r="AW53" s="67">
        <f t="shared" si="222"/>
        <v>11979.000000000004</v>
      </c>
      <c r="AX53" s="67">
        <f t="shared" si="222"/>
        <v>17569.200000000008</v>
      </c>
      <c r="AY53" s="67">
        <f t="shared" si="222"/>
        <v>17569.200000000008</v>
      </c>
      <c r="AZ53" s="67">
        <f t="shared" si="222"/>
        <v>17569.200000000008</v>
      </c>
      <c r="BA53" s="67">
        <f t="shared" si="222"/>
        <v>17569.200000000008</v>
      </c>
      <c r="BB53" s="67">
        <f t="shared" si="222"/>
        <v>17569.200000000008</v>
      </c>
      <c r="BC53" s="67">
        <f t="shared" si="222"/>
        <v>17569.200000000008</v>
      </c>
      <c r="BD53" s="67">
        <f t="shared" si="222"/>
        <v>17569.200000000008</v>
      </c>
      <c r="BE53" s="67">
        <f t="shared" si="222"/>
        <v>17569.200000000008</v>
      </c>
      <c r="BF53" s="67">
        <f t="shared" si="222"/>
        <v>17569.200000000008</v>
      </c>
      <c r="BG53" s="67">
        <f t="shared" si="222"/>
        <v>17569.200000000008</v>
      </c>
      <c r="BH53" s="67">
        <f t="shared" si="222"/>
        <v>17569.200000000008</v>
      </c>
      <c r="BI53" s="122">
        <f t="shared" si="222"/>
        <v>17569.200000000008</v>
      </c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</row>
    <row r="54" spans="1:102">
      <c r="A54" s="36" t="s">
        <v>99</v>
      </c>
      <c r="B54" s="67">
        <f t="shared" si="220"/>
        <v>0</v>
      </c>
      <c r="C54" s="67">
        <f t="shared" si="226"/>
        <v>0</v>
      </c>
      <c r="D54" s="67">
        <f t="shared" si="226"/>
        <v>0</v>
      </c>
      <c r="E54" s="67">
        <f t="shared" si="226"/>
        <v>0</v>
      </c>
      <c r="F54" s="67">
        <f t="shared" si="226"/>
        <v>0</v>
      </c>
      <c r="G54" s="67">
        <f t="shared" si="226"/>
        <v>0</v>
      </c>
      <c r="H54" s="67">
        <f t="shared" si="226"/>
        <v>0</v>
      </c>
      <c r="I54" s="67">
        <f t="shared" si="226"/>
        <v>0</v>
      </c>
      <c r="J54" s="67">
        <f t="shared" si="226"/>
        <v>0</v>
      </c>
      <c r="K54" s="67">
        <f t="shared" si="226"/>
        <v>0</v>
      </c>
      <c r="L54" s="67">
        <f t="shared" si="226"/>
        <v>0</v>
      </c>
      <c r="M54" s="67">
        <f t="shared" si="226"/>
        <v>0</v>
      </c>
      <c r="N54" s="67">
        <f t="shared" si="226"/>
        <v>0</v>
      </c>
      <c r="O54" s="67">
        <f t="shared" si="226"/>
        <v>0</v>
      </c>
      <c r="P54" s="67">
        <f t="shared" si="226"/>
        <v>0</v>
      </c>
      <c r="Q54" s="67">
        <f t="shared" si="226"/>
        <v>0</v>
      </c>
      <c r="R54" s="67">
        <f t="shared" si="226"/>
        <v>0</v>
      </c>
      <c r="S54" s="67">
        <f t="shared" si="226"/>
        <v>0</v>
      </c>
      <c r="T54" s="67">
        <f t="shared" si="226"/>
        <v>0</v>
      </c>
      <c r="U54" s="67">
        <f t="shared" si="226"/>
        <v>0</v>
      </c>
      <c r="V54" s="67">
        <f t="shared" si="226"/>
        <v>0</v>
      </c>
      <c r="W54" s="67">
        <f t="shared" si="226"/>
        <v>0</v>
      </c>
      <c r="X54" s="67">
        <f t="shared" si="226"/>
        <v>0</v>
      </c>
      <c r="Y54" s="67">
        <f t="shared" si="226"/>
        <v>0</v>
      </c>
      <c r="Z54" s="67">
        <f t="shared" si="226"/>
        <v>1815.0000000000005</v>
      </c>
      <c r="AA54" s="67">
        <f t="shared" si="226"/>
        <v>1815.0000000000005</v>
      </c>
      <c r="AB54" s="67">
        <f t="shared" si="226"/>
        <v>1815.0000000000005</v>
      </c>
      <c r="AC54" s="67">
        <f t="shared" si="226"/>
        <v>1815.0000000000005</v>
      </c>
      <c r="AD54" s="67">
        <f t="shared" si="226"/>
        <v>1815.0000000000005</v>
      </c>
      <c r="AE54" s="67">
        <f t="shared" si="226"/>
        <v>1815.0000000000005</v>
      </c>
      <c r="AF54" s="67">
        <f t="shared" si="226"/>
        <v>1815.0000000000005</v>
      </c>
      <c r="AG54" s="67">
        <f t="shared" si="226"/>
        <v>1815.0000000000005</v>
      </c>
      <c r="AH54" s="67">
        <f t="shared" si="226"/>
        <v>1815.0000000000005</v>
      </c>
      <c r="AI54" s="67">
        <f t="shared" si="226"/>
        <v>1815.0000000000005</v>
      </c>
      <c r="AJ54" s="67">
        <f t="shared" si="226"/>
        <v>1815.0000000000005</v>
      </c>
      <c r="AK54" s="67">
        <f t="shared" si="226"/>
        <v>1815.0000000000005</v>
      </c>
      <c r="AL54" s="67">
        <f t="shared" si="226"/>
        <v>1996.5000000000007</v>
      </c>
      <c r="AM54" s="67">
        <f t="shared" si="225"/>
        <v>1996.5000000000007</v>
      </c>
      <c r="AN54" s="67">
        <f t="shared" si="222"/>
        <v>1996.5000000000007</v>
      </c>
      <c r="AO54" s="67">
        <f t="shared" si="222"/>
        <v>1996.5000000000007</v>
      </c>
      <c r="AP54" s="67">
        <f t="shared" si="222"/>
        <v>1996.5000000000007</v>
      </c>
      <c r="AQ54" s="67">
        <f t="shared" si="222"/>
        <v>1996.5000000000007</v>
      </c>
      <c r="AR54" s="67">
        <f t="shared" si="222"/>
        <v>1996.5000000000007</v>
      </c>
      <c r="AS54" s="67">
        <f t="shared" si="222"/>
        <v>1996.5000000000007</v>
      </c>
      <c r="AT54" s="67">
        <f t="shared" si="222"/>
        <v>1996.5000000000007</v>
      </c>
      <c r="AU54" s="67">
        <f t="shared" si="222"/>
        <v>1996.5000000000007</v>
      </c>
      <c r="AV54" s="67">
        <f t="shared" si="222"/>
        <v>1996.5000000000007</v>
      </c>
      <c r="AW54" s="67">
        <f t="shared" si="222"/>
        <v>1996.5000000000007</v>
      </c>
      <c r="AX54" s="67">
        <f t="shared" si="222"/>
        <v>2196.150000000001</v>
      </c>
      <c r="AY54" s="67">
        <f t="shared" si="222"/>
        <v>2196.150000000001</v>
      </c>
      <c r="AZ54" s="67">
        <f t="shared" si="222"/>
        <v>2196.150000000001</v>
      </c>
      <c r="BA54" s="67">
        <f t="shared" si="222"/>
        <v>2196.150000000001</v>
      </c>
      <c r="BB54" s="67">
        <f t="shared" si="222"/>
        <v>2196.150000000001</v>
      </c>
      <c r="BC54" s="67">
        <f t="shared" si="222"/>
        <v>2196.150000000001</v>
      </c>
      <c r="BD54" s="67">
        <f t="shared" si="222"/>
        <v>2196.150000000001</v>
      </c>
      <c r="BE54" s="67">
        <f t="shared" si="222"/>
        <v>2196.150000000001</v>
      </c>
      <c r="BF54" s="67">
        <f t="shared" si="222"/>
        <v>2196.150000000001</v>
      </c>
      <c r="BG54" s="67">
        <f t="shared" si="222"/>
        <v>2196.150000000001</v>
      </c>
      <c r="BH54" s="67">
        <f t="shared" si="222"/>
        <v>2196.150000000001</v>
      </c>
      <c r="BI54" s="122">
        <f t="shared" si="222"/>
        <v>2196.150000000001</v>
      </c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</row>
    <row r="55" spans="1:102">
      <c r="A55" s="34" t="s">
        <v>174</v>
      </c>
      <c r="B55" s="67">
        <f t="shared" si="220"/>
        <v>0</v>
      </c>
      <c r="C55" s="67">
        <f t="shared" si="226"/>
        <v>0</v>
      </c>
      <c r="D55" s="67">
        <f t="shared" si="226"/>
        <v>0</v>
      </c>
      <c r="E55" s="67">
        <f t="shared" si="226"/>
        <v>0</v>
      </c>
      <c r="F55" s="67">
        <f t="shared" si="226"/>
        <v>0</v>
      </c>
      <c r="G55" s="67">
        <f t="shared" si="226"/>
        <v>0</v>
      </c>
      <c r="H55" s="67">
        <f t="shared" si="226"/>
        <v>0</v>
      </c>
      <c r="I55" s="67">
        <f t="shared" si="226"/>
        <v>0</v>
      </c>
      <c r="J55" s="67">
        <f t="shared" si="226"/>
        <v>0</v>
      </c>
      <c r="K55" s="67">
        <f t="shared" si="226"/>
        <v>0</v>
      </c>
      <c r="L55" s="67">
        <f t="shared" si="226"/>
        <v>0</v>
      </c>
      <c r="M55" s="67">
        <f t="shared" si="226"/>
        <v>0</v>
      </c>
      <c r="N55" s="67">
        <f t="shared" si="226"/>
        <v>0</v>
      </c>
      <c r="O55" s="67">
        <f t="shared" si="226"/>
        <v>0</v>
      </c>
      <c r="P55" s="67">
        <f t="shared" si="226"/>
        <v>0</v>
      </c>
      <c r="Q55" s="67">
        <f t="shared" si="226"/>
        <v>0</v>
      </c>
      <c r="R55" s="67">
        <f t="shared" si="226"/>
        <v>0</v>
      </c>
      <c r="S55" s="67">
        <f t="shared" si="226"/>
        <v>0</v>
      </c>
      <c r="T55" s="67">
        <f t="shared" si="226"/>
        <v>0</v>
      </c>
      <c r="U55" s="67">
        <f t="shared" si="226"/>
        <v>0</v>
      </c>
      <c r="V55" s="67">
        <f t="shared" si="226"/>
        <v>0</v>
      </c>
      <c r="W55" s="67">
        <f t="shared" si="226"/>
        <v>0</v>
      </c>
      <c r="X55" s="67">
        <f t="shared" si="226"/>
        <v>0</v>
      </c>
      <c r="Y55" s="67">
        <f t="shared" si="226"/>
        <v>0</v>
      </c>
      <c r="Z55" s="67">
        <f t="shared" si="226"/>
        <v>0</v>
      </c>
      <c r="AA55" s="67">
        <f t="shared" si="226"/>
        <v>0</v>
      </c>
      <c r="AB55" s="67">
        <f t="shared" si="226"/>
        <v>0</v>
      </c>
      <c r="AC55" s="67">
        <f t="shared" si="226"/>
        <v>0</v>
      </c>
      <c r="AD55" s="67">
        <f t="shared" si="226"/>
        <v>0</v>
      </c>
      <c r="AE55" s="67">
        <f t="shared" si="226"/>
        <v>0</v>
      </c>
      <c r="AF55" s="67">
        <f t="shared" si="226"/>
        <v>0</v>
      </c>
      <c r="AG55" s="67">
        <f t="shared" si="226"/>
        <v>0</v>
      </c>
      <c r="AH55" s="67">
        <f t="shared" si="226"/>
        <v>0</v>
      </c>
      <c r="AI55" s="67">
        <f t="shared" si="226"/>
        <v>0</v>
      </c>
      <c r="AJ55" s="67">
        <f t="shared" si="226"/>
        <v>0</v>
      </c>
      <c r="AK55" s="67">
        <f t="shared" si="226"/>
        <v>0</v>
      </c>
      <c r="AL55" s="67">
        <f t="shared" si="226"/>
        <v>0</v>
      </c>
      <c r="AM55" s="67">
        <f t="shared" si="225"/>
        <v>0</v>
      </c>
      <c r="AN55" s="67">
        <f t="shared" si="222"/>
        <v>0</v>
      </c>
      <c r="AO55" s="67">
        <f t="shared" si="222"/>
        <v>0</v>
      </c>
      <c r="AP55" s="67">
        <f t="shared" si="222"/>
        <v>0</v>
      </c>
      <c r="AQ55" s="67">
        <f t="shared" si="222"/>
        <v>0</v>
      </c>
      <c r="AR55" s="67">
        <f t="shared" si="222"/>
        <v>0</v>
      </c>
      <c r="AS55" s="67">
        <f t="shared" si="222"/>
        <v>0</v>
      </c>
      <c r="AT55" s="67">
        <f t="shared" ref="AN55:BI57" si="227">AT37*AT20</f>
        <v>0</v>
      </c>
      <c r="AU55" s="67">
        <f t="shared" si="227"/>
        <v>0</v>
      </c>
      <c r="AV55" s="67">
        <f t="shared" si="227"/>
        <v>0</v>
      </c>
      <c r="AW55" s="67">
        <f t="shared" si="227"/>
        <v>0</v>
      </c>
      <c r="AX55" s="67">
        <f t="shared" si="227"/>
        <v>0</v>
      </c>
      <c r="AY55" s="67">
        <f t="shared" si="227"/>
        <v>0</v>
      </c>
      <c r="AZ55" s="67">
        <f t="shared" si="227"/>
        <v>0</v>
      </c>
      <c r="BA55" s="67">
        <f t="shared" si="227"/>
        <v>0</v>
      </c>
      <c r="BB55" s="67">
        <f t="shared" si="227"/>
        <v>0</v>
      </c>
      <c r="BC55" s="67">
        <f t="shared" si="227"/>
        <v>0</v>
      </c>
      <c r="BD55" s="67">
        <f t="shared" si="227"/>
        <v>0</v>
      </c>
      <c r="BE55" s="67">
        <f t="shared" si="227"/>
        <v>0</v>
      </c>
      <c r="BF55" s="67">
        <f t="shared" si="227"/>
        <v>0</v>
      </c>
      <c r="BG55" s="67">
        <f t="shared" si="227"/>
        <v>0</v>
      </c>
      <c r="BH55" s="67">
        <f t="shared" si="227"/>
        <v>0</v>
      </c>
      <c r="BI55" s="122">
        <f t="shared" si="227"/>
        <v>0</v>
      </c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</row>
    <row r="56" spans="1:102">
      <c r="A56" s="36" t="s">
        <v>179</v>
      </c>
      <c r="B56" s="67">
        <f t="shared" si="220"/>
        <v>600</v>
      </c>
      <c r="C56" s="67">
        <f t="shared" si="226"/>
        <v>600</v>
      </c>
      <c r="D56" s="67">
        <f t="shared" si="226"/>
        <v>600</v>
      </c>
      <c r="E56" s="67">
        <f t="shared" si="226"/>
        <v>600</v>
      </c>
      <c r="F56" s="67">
        <f t="shared" si="226"/>
        <v>600</v>
      </c>
      <c r="G56" s="67">
        <f t="shared" si="226"/>
        <v>600</v>
      </c>
      <c r="H56" s="67">
        <f t="shared" si="226"/>
        <v>600</v>
      </c>
      <c r="I56" s="67">
        <f t="shared" si="226"/>
        <v>600</v>
      </c>
      <c r="J56" s="67">
        <f t="shared" si="226"/>
        <v>600</v>
      </c>
      <c r="K56" s="67">
        <f t="shared" si="226"/>
        <v>600</v>
      </c>
      <c r="L56" s="67">
        <f t="shared" si="226"/>
        <v>600</v>
      </c>
      <c r="M56" s="67">
        <f t="shared" si="226"/>
        <v>600</v>
      </c>
      <c r="N56" s="67">
        <f t="shared" si="226"/>
        <v>600</v>
      </c>
      <c r="O56" s="67">
        <f t="shared" si="226"/>
        <v>600</v>
      </c>
      <c r="P56" s="67">
        <f t="shared" si="226"/>
        <v>600</v>
      </c>
      <c r="Q56" s="67">
        <f t="shared" si="226"/>
        <v>600</v>
      </c>
      <c r="R56" s="67">
        <f t="shared" si="226"/>
        <v>600</v>
      </c>
      <c r="S56" s="67">
        <f t="shared" si="226"/>
        <v>600</v>
      </c>
      <c r="T56" s="67">
        <f t="shared" si="226"/>
        <v>600</v>
      </c>
      <c r="U56" s="67">
        <f t="shared" si="226"/>
        <v>600</v>
      </c>
      <c r="V56" s="67">
        <f t="shared" si="226"/>
        <v>600</v>
      </c>
      <c r="W56" s="67">
        <f t="shared" si="226"/>
        <v>600</v>
      </c>
      <c r="X56" s="67">
        <f t="shared" si="226"/>
        <v>600</v>
      </c>
      <c r="Y56" s="67">
        <f t="shared" si="226"/>
        <v>600</v>
      </c>
      <c r="Z56" s="67">
        <f t="shared" si="226"/>
        <v>10000</v>
      </c>
      <c r="AA56" s="67">
        <f t="shared" si="226"/>
        <v>10000</v>
      </c>
      <c r="AB56" s="67">
        <f t="shared" si="226"/>
        <v>10000</v>
      </c>
      <c r="AC56" s="67">
        <f t="shared" si="226"/>
        <v>10000</v>
      </c>
      <c r="AD56" s="67">
        <f t="shared" si="226"/>
        <v>10000</v>
      </c>
      <c r="AE56" s="67">
        <f t="shared" si="226"/>
        <v>10000</v>
      </c>
      <c r="AF56" s="67">
        <f t="shared" si="226"/>
        <v>10000</v>
      </c>
      <c r="AG56" s="67">
        <f t="shared" si="226"/>
        <v>10000</v>
      </c>
      <c r="AH56" s="67">
        <f t="shared" si="226"/>
        <v>10000</v>
      </c>
      <c r="AI56" s="67">
        <f t="shared" si="226"/>
        <v>10000</v>
      </c>
      <c r="AJ56" s="67">
        <f t="shared" si="226"/>
        <v>10000</v>
      </c>
      <c r="AK56" s="67">
        <f t="shared" si="226"/>
        <v>10000</v>
      </c>
      <c r="AL56" s="67">
        <f t="shared" si="226"/>
        <v>11000</v>
      </c>
      <c r="AM56" s="67">
        <f t="shared" si="225"/>
        <v>11000</v>
      </c>
      <c r="AN56" s="67">
        <f t="shared" si="227"/>
        <v>11000</v>
      </c>
      <c r="AO56" s="67">
        <f t="shared" si="227"/>
        <v>11000</v>
      </c>
      <c r="AP56" s="67">
        <f t="shared" si="227"/>
        <v>11000</v>
      </c>
      <c r="AQ56" s="67">
        <f t="shared" si="227"/>
        <v>11000</v>
      </c>
      <c r="AR56" s="67">
        <f t="shared" si="227"/>
        <v>11000</v>
      </c>
      <c r="AS56" s="67">
        <f t="shared" si="227"/>
        <v>11000</v>
      </c>
      <c r="AT56" s="67">
        <f t="shared" si="227"/>
        <v>11000</v>
      </c>
      <c r="AU56" s="67">
        <f t="shared" si="227"/>
        <v>11000</v>
      </c>
      <c r="AV56" s="67">
        <f t="shared" si="227"/>
        <v>11000</v>
      </c>
      <c r="AW56" s="67">
        <f t="shared" si="227"/>
        <v>11000</v>
      </c>
      <c r="AX56" s="67">
        <f t="shared" si="227"/>
        <v>12100.000000000002</v>
      </c>
      <c r="AY56" s="67">
        <f t="shared" si="227"/>
        <v>12100.000000000002</v>
      </c>
      <c r="AZ56" s="67">
        <f t="shared" si="227"/>
        <v>12100.000000000002</v>
      </c>
      <c r="BA56" s="67">
        <f t="shared" si="227"/>
        <v>12100.000000000002</v>
      </c>
      <c r="BB56" s="67">
        <f t="shared" si="227"/>
        <v>12100.000000000002</v>
      </c>
      <c r="BC56" s="67">
        <f t="shared" si="227"/>
        <v>12100.000000000002</v>
      </c>
      <c r="BD56" s="67">
        <f t="shared" si="227"/>
        <v>12100.000000000002</v>
      </c>
      <c r="BE56" s="67">
        <f t="shared" si="227"/>
        <v>12100.000000000002</v>
      </c>
      <c r="BF56" s="67">
        <f t="shared" si="227"/>
        <v>12100.000000000002</v>
      </c>
      <c r="BG56" s="67">
        <f t="shared" si="227"/>
        <v>12100.000000000002</v>
      </c>
      <c r="BH56" s="67">
        <f t="shared" si="227"/>
        <v>12100.000000000002</v>
      </c>
      <c r="BI56" s="122">
        <f t="shared" si="227"/>
        <v>12100.000000000002</v>
      </c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</row>
    <row r="57" spans="1:102">
      <c r="A57" s="36" t="s">
        <v>74</v>
      </c>
      <c r="B57" s="67">
        <f t="shared" si="220"/>
        <v>7000</v>
      </c>
      <c r="C57" s="67">
        <f t="shared" si="226"/>
        <v>7000</v>
      </c>
      <c r="D57" s="67">
        <f t="shared" si="226"/>
        <v>7000</v>
      </c>
      <c r="E57" s="67">
        <f t="shared" si="226"/>
        <v>7000</v>
      </c>
      <c r="F57" s="67">
        <f t="shared" si="226"/>
        <v>7000</v>
      </c>
      <c r="G57" s="67">
        <f t="shared" si="226"/>
        <v>7000</v>
      </c>
      <c r="H57" s="67">
        <f t="shared" si="226"/>
        <v>7000</v>
      </c>
      <c r="I57" s="67">
        <f t="shared" si="226"/>
        <v>7000</v>
      </c>
      <c r="J57" s="67">
        <f t="shared" si="226"/>
        <v>7000</v>
      </c>
      <c r="K57" s="67">
        <f t="shared" si="226"/>
        <v>7000</v>
      </c>
      <c r="L57" s="67">
        <f t="shared" si="226"/>
        <v>7000</v>
      </c>
      <c r="M57" s="67">
        <f t="shared" si="226"/>
        <v>7000</v>
      </c>
      <c r="N57" s="67">
        <f t="shared" si="226"/>
        <v>7700.0000000000009</v>
      </c>
      <c r="O57" s="67">
        <f t="shared" si="226"/>
        <v>7700.0000000000009</v>
      </c>
      <c r="P57" s="67">
        <f t="shared" si="226"/>
        <v>7700.0000000000009</v>
      </c>
      <c r="Q57" s="67">
        <f t="shared" si="226"/>
        <v>7700.0000000000009</v>
      </c>
      <c r="R57" s="67">
        <f t="shared" si="226"/>
        <v>7700.0000000000009</v>
      </c>
      <c r="S57" s="67">
        <f t="shared" si="226"/>
        <v>7700.0000000000009</v>
      </c>
      <c r="T57" s="67">
        <f t="shared" si="226"/>
        <v>7700.0000000000009</v>
      </c>
      <c r="U57" s="67">
        <f t="shared" si="226"/>
        <v>7700.0000000000009</v>
      </c>
      <c r="V57" s="67">
        <f t="shared" si="226"/>
        <v>7700.0000000000009</v>
      </c>
      <c r="W57" s="67">
        <f t="shared" si="226"/>
        <v>7700.0000000000009</v>
      </c>
      <c r="X57" s="67">
        <f t="shared" ref="C57:AL58" si="228">X39*X22</f>
        <v>7700.0000000000009</v>
      </c>
      <c r="Y57" s="67">
        <f t="shared" si="228"/>
        <v>7700.0000000000009</v>
      </c>
      <c r="Z57" s="67">
        <f t="shared" si="228"/>
        <v>8470.0000000000018</v>
      </c>
      <c r="AA57" s="67">
        <f t="shared" si="228"/>
        <v>8470.0000000000018</v>
      </c>
      <c r="AB57" s="67">
        <f t="shared" si="228"/>
        <v>8470.0000000000018</v>
      </c>
      <c r="AC57" s="67">
        <f t="shared" si="228"/>
        <v>8470.0000000000018</v>
      </c>
      <c r="AD57" s="67">
        <f t="shared" si="228"/>
        <v>8470.0000000000018</v>
      </c>
      <c r="AE57" s="67">
        <f t="shared" si="228"/>
        <v>8470.0000000000018</v>
      </c>
      <c r="AF57" s="67">
        <f t="shared" si="228"/>
        <v>8470.0000000000018</v>
      </c>
      <c r="AG57" s="67">
        <f t="shared" si="228"/>
        <v>8470.0000000000018</v>
      </c>
      <c r="AH57" s="67">
        <f t="shared" si="228"/>
        <v>8470.0000000000018</v>
      </c>
      <c r="AI57" s="67">
        <f t="shared" si="228"/>
        <v>8470.0000000000018</v>
      </c>
      <c r="AJ57" s="67">
        <f t="shared" si="228"/>
        <v>8470.0000000000018</v>
      </c>
      <c r="AK57" s="67">
        <f t="shared" si="228"/>
        <v>8470.0000000000018</v>
      </c>
      <c r="AL57" s="67">
        <f t="shared" si="228"/>
        <v>18634.000000000007</v>
      </c>
      <c r="AM57" s="67">
        <f t="shared" si="225"/>
        <v>18634.000000000007</v>
      </c>
      <c r="AN57" s="67">
        <f t="shared" si="227"/>
        <v>18634.000000000007</v>
      </c>
      <c r="AO57" s="67">
        <f t="shared" si="227"/>
        <v>18634.000000000007</v>
      </c>
      <c r="AP57" s="67">
        <f t="shared" si="227"/>
        <v>18634.000000000007</v>
      </c>
      <c r="AQ57" s="67">
        <f t="shared" si="227"/>
        <v>18634.000000000007</v>
      </c>
      <c r="AR57" s="67">
        <f t="shared" si="227"/>
        <v>18634.000000000007</v>
      </c>
      <c r="AS57" s="67">
        <f t="shared" si="227"/>
        <v>18634.000000000007</v>
      </c>
      <c r="AT57" s="67">
        <f t="shared" si="227"/>
        <v>18634.000000000007</v>
      </c>
      <c r="AU57" s="67">
        <f t="shared" si="227"/>
        <v>18634.000000000007</v>
      </c>
      <c r="AV57" s="67">
        <f t="shared" si="227"/>
        <v>18634.000000000007</v>
      </c>
      <c r="AW57" s="67">
        <f t="shared" si="227"/>
        <v>18634.000000000007</v>
      </c>
      <c r="AX57" s="67">
        <f t="shared" si="227"/>
        <v>40994.800000000017</v>
      </c>
      <c r="AY57" s="67">
        <f t="shared" si="227"/>
        <v>40994.800000000017</v>
      </c>
      <c r="AZ57" s="67">
        <f t="shared" si="227"/>
        <v>40994.800000000017</v>
      </c>
      <c r="BA57" s="67">
        <f t="shared" si="227"/>
        <v>40994.800000000017</v>
      </c>
      <c r="BB57" s="67">
        <f t="shared" si="227"/>
        <v>40994.800000000017</v>
      </c>
      <c r="BC57" s="67">
        <f t="shared" si="227"/>
        <v>40994.800000000017</v>
      </c>
      <c r="BD57" s="67">
        <f t="shared" si="227"/>
        <v>40994.800000000017</v>
      </c>
      <c r="BE57" s="67">
        <f t="shared" si="227"/>
        <v>40994.800000000017</v>
      </c>
      <c r="BF57" s="67">
        <f t="shared" si="227"/>
        <v>40994.800000000017</v>
      </c>
      <c r="BG57" s="67">
        <f t="shared" si="227"/>
        <v>40994.800000000017</v>
      </c>
      <c r="BH57" s="67">
        <f t="shared" si="227"/>
        <v>40994.800000000017</v>
      </c>
      <c r="BI57" s="122">
        <f t="shared" si="227"/>
        <v>40994.800000000017</v>
      </c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</row>
    <row r="58" spans="1:102">
      <c r="A58" s="36" t="s">
        <v>99</v>
      </c>
      <c r="B58" s="67">
        <f t="shared" si="220"/>
        <v>0</v>
      </c>
      <c r="C58" s="67">
        <f t="shared" si="228"/>
        <v>0</v>
      </c>
      <c r="D58" s="67">
        <f t="shared" si="228"/>
        <v>0</v>
      </c>
      <c r="E58" s="67">
        <f t="shared" si="228"/>
        <v>0</v>
      </c>
      <c r="F58" s="67">
        <f t="shared" si="228"/>
        <v>0</v>
      </c>
      <c r="G58" s="67">
        <f t="shared" si="228"/>
        <v>0</v>
      </c>
      <c r="H58" s="67">
        <f t="shared" si="228"/>
        <v>0</v>
      </c>
      <c r="I58" s="67">
        <f t="shared" si="228"/>
        <v>0</v>
      </c>
      <c r="J58" s="67">
        <f t="shared" si="228"/>
        <v>0</v>
      </c>
      <c r="K58" s="67">
        <f t="shared" si="228"/>
        <v>0</v>
      </c>
      <c r="L58" s="67">
        <f t="shared" si="228"/>
        <v>0</v>
      </c>
      <c r="M58" s="67">
        <f t="shared" si="228"/>
        <v>0</v>
      </c>
      <c r="N58" s="67">
        <f t="shared" si="228"/>
        <v>0</v>
      </c>
      <c r="O58" s="67">
        <f t="shared" si="228"/>
        <v>0</v>
      </c>
      <c r="P58" s="67">
        <f t="shared" si="228"/>
        <v>0</v>
      </c>
      <c r="Q58" s="67">
        <f t="shared" si="228"/>
        <v>0</v>
      </c>
      <c r="R58" s="67">
        <f t="shared" si="228"/>
        <v>0</v>
      </c>
      <c r="S58" s="67">
        <f t="shared" si="228"/>
        <v>0</v>
      </c>
      <c r="T58" s="67">
        <f t="shared" si="228"/>
        <v>0</v>
      </c>
      <c r="U58" s="67">
        <f t="shared" si="228"/>
        <v>0</v>
      </c>
      <c r="V58" s="67">
        <f t="shared" si="228"/>
        <v>0</v>
      </c>
      <c r="W58" s="67">
        <f t="shared" si="228"/>
        <v>0</v>
      </c>
      <c r="X58" s="67">
        <f t="shared" si="228"/>
        <v>0</v>
      </c>
      <c r="Y58" s="67">
        <f t="shared" si="228"/>
        <v>0</v>
      </c>
      <c r="Z58" s="67">
        <f t="shared" si="228"/>
        <v>0</v>
      </c>
      <c r="AA58" s="67">
        <f t="shared" si="228"/>
        <v>0</v>
      </c>
      <c r="AB58" s="67">
        <f t="shared" si="228"/>
        <v>0</v>
      </c>
      <c r="AC58" s="67">
        <f t="shared" si="228"/>
        <v>0</v>
      </c>
      <c r="AD58" s="67">
        <f t="shared" si="228"/>
        <v>0</v>
      </c>
      <c r="AE58" s="67">
        <f t="shared" si="228"/>
        <v>0</v>
      </c>
      <c r="AF58" s="67">
        <f t="shared" si="228"/>
        <v>0</v>
      </c>
      <c r="AG58" s="67">
        <f t="shared" si="228"/>
        <v>0</v>
      </c>
      <c r="AH58" s="67">
        <f t="shared" si="228"/>
        <v>0</v>
      </c>
      <c r="AI58" s="67">
        <f t="shared" si="228"/>
        <v>0</v>
      </c>
      <c r="AJ58" s="67">
        <f t="shared" si="228"/>
        <v>0</v>
      </c>
      <c r="AK58" s="67">
        <f t="shared" si="228"/>
        <v>0</v>
      </c>
      <c r="AL58" s="67">
        <f t="shared" si="228"/>
        <v>1996.5000000000007</v>
      </c>
      <c r="AM58" s="67">
        <f t="shared" ref="AM58:BI58" si="229">AM40*AM23</f>
        <v>1996.5000000000007</v>
      </c>
      <c r="AN58" s="67">
        <f t="shared" si="229"/>
        <v>1996.5000000000007</v>
      </c>
      <c r="AO58" s="67">
        <f t="shared" si="229"/>
        <v>1996.5000000000007</v>
      </c>
      <c r="AP58" s="67">
        <f t="shared" si="229"/>
        <v>1996.5000000000007</v>
      </c>
      <c r="AQ58" s="67">
        <f t="shared" si="229"/>
        <v>1996.5000000000007</v>
      </c>
      <c r="AR58" s="67">
        <f t="shared" si="229"/>
        <v>1996.5000000000007</v>
      </c>
      <c r="AS58" s="67">
        <f t="shared" si="229"/>
        <v>1996.5000000000007</v>
      </c>
      <c r="AT58" s="67">
        <f t="shared" si="229"/>
        <v>1996.5000000000007</v>
      </c>
      <c r="AU58" s="67">
        <f t="shared" si="229"/>
        <v>1996.5000000000007</v>
      </c>
      <c r="AV58" s="67">
        <f t="shared" si="229"/>
        <v>1996.5000000000007</v>
      </c>
      <c r="AW58" s="67">
        <f t="shared" si="229"/>
        <v>1996.5000000000007</v>
      </c>
      <c r="AX58" s="67">
        <f t="shared" si="229"/>
        <v>2196.150000000001</v>
      </c>
      <c r="AY58" s="67">
        <f t="shared" si="229"/>
        <v>2196.150000000001</v>
      </c>
      <c r="AZ58" s="67">
        <f t="shared" si="229"/>
        <v>2196.150000000001</v>
      </c>
      <c r="BA58" s="67">
        <f t="shared" si="229"/>
        <v>2196.150000000001</v>
      </c>
      <c r="BB58" s="67">
        <f t="shared" si="229"/>
        <v>2196.150000000001</v>
      </c>
      <c r="BC58" s="67">
        <f t="shared" si="229"/>
        <v>2196.150000000001</v>
      </c>
      <c r="BD58" s="67">
        <f t="shared" si="229"/>
        <v>2196.150000000001</v>
      </c>
      <c r="BE58" s="67">
        <f t="shared" si="229"/>
        <v>2196.150000000001</v>
      </c>
      <c r="BF58" s="67">
        <f t="shared" si="229"/>
        <v>2196.150000000001</v>
      </c>
      <c r="BG58" s="67">
        <f t="shared" si="229"/>
        <v>2196.150000000001</v>
      </c>
      <c r="BH58" s="67">
        <f t="shared" si="229"/>
        <v>2196.150000000001</v>
      </c>
      <c r="BI58" s="122">
        <f t="shared" si="229"/>
        <v>2196.150000000001</v>
      </c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</row>
    <row r="60" spans="1:102" s="66" customFormat="1">
      <c r="A60" s="65" t="s">
        <v>101</v>
      </c>
      <c r="B60" s="57">
        <f>SUM(B43:B58)</f>
        <v>79200</v>
      </c>
      <c r="C60" s="57">
        <f t="shared" ref="C60:BI60" si="230">SUM(C43:C58)</f>
        <v>79200</v>
      </c>
      <c r="D60" s="57">
        <f t="shared" si="230"/>
        <v>79200</v>
      </c>
      <c r="E60" s="57">
        <f t="shared" si="230"/>
        <v>79200</v>
      </c>
      <c r="F60" s="57">
        <f t="shared" si="230"/>
        <v>79200</v>
      </c>
      <c r="G60" s="57">
        <f t="shared" si="230"/>
        <v>79200</v>
      </c>
      <c r="H60" s="57">
        <f t="shared" si="230"/>
        <v>79200</v>
      </c>
      <c r="I60" s="57">
        <f t="shared" si="230"/>
        <v>79200</v>
      </c>
      <c r="J60" s="57">
        <f t="shared" si="230"/>
        <v>79200</v>
      </c>
      <c r="K60" s="57">
        <f t="shared" si="230"/>
        <v>79200</v>
      </c>
      <c r="L60" s="57">
        <f t="shared" si="230"/>
        <v>79200</v>
      </c>
      <c r="M60" s="57">
        <f t="shared" si="230"/>
        <v>79200</v>
      </c>
      <c r="N60" s="57">
        <f t="shared" si="230"/>
        <v>82200</v>
      </c>
      <c r="O60" s="57">
        <f t="shared" si="230"/>
        <v>82200</v>
      </c>
      <c r="P60" s="57">
        <f t="shared" si="230"/>
        <v>82200</v>
      </c>
      <c r="Q60" s="57">
        <f t="shared" si="230"/>
        <v>82200</v>
      </c>
      <c r="R60" s="57">
        <f t="shared" si="230"/>
        <v>82200</v>
      </c>
      <c r="S60" s="57">
        <f t="shared" si="230"/>
        <v>82200</v>
      </c>
      <c r="T60" s="57">
        <f t="shared" si="230"/>
        <v>82200</v>
      </c>
      <c r="U60" s="57">
        <f t="shared" si="230"/>
        <v>82200</v>
      </c>
      <c r="V60" s="57">
        <f t="shared" si="230"/>
        <v>82200</v>
      </c>
      <c r="W60" s="57">
        <f t="shared" si="230"/>
        <v>82200</v>
      </c>
      <c r="X60" s="57">
        <f t="shared" si="230"/>
        <v>82200</v>
      </c>
      <c r="Y60" s="57">
        <f t="shared" si="230"/>
        <v>82200</v>
      </c>
      <c r="Z60" s="57">
        <f t="shared" si="230"/>
        <v>112330</v>
      </c>
      <c r="AA60" s="57">
        <f t="shared" si="230"/>
        <v>112330</v>
      </c>
      <c r="AB60" s="57">
        <f t="shared" si="230"/>
        <v>112330</v>
      </c>
      <c r="AC60" s="57">
        <f t="shared" si="230"/>
        <v>112330</v>
      </c>
      <c r="AD60" s="57">
        <f t="shared" si="230"/>
        <v>112330</v>
      </c>
      <c r="AE60" s="57">
        <f t="shared" si="230"/>
        <v>112330</v>
      </c>
      <c r="AF60" s="57">
        <f t="shared" si="230"/>
        <v>112330</v>
      </c>
      <c r="AG60" s="57">
        <f t="shared" si="230"/>
        <v>112330</v>
      </c>
      <c r="AH60" s="57">
        <f t="shared" si="230"/>
        <v>112330</v>
      </c>
      <c r="AI60" s="57">
        <f t="shared" si="230"/>
        <v>112330</v>
      </c>
      <c r="AJ60" s="57">
        <f t="shared" si="230"/>
        <v>112330</v>
      </c>
      <c r="AK60" s="57">
        <f t="shared" si="230"/>
        <v>112330</v>
      </c>
      <c r="AL60" s="57">
        <f t="shared" si="230"/>
        <v>138469.50000000003</v>
      </c>
      <c r="AM60" s="57">
        <f t="shared" si="230"/>
        <v>138469.50000000003</v>
      </c>
      <c r="AN60" s="57">
        <f t="shared" si="230"/>
        <v>138469.50000000003</v>
      </c>
      <c r="AO60" s="57">
        <f t="shared" si="230"/>
        <v>138469.50000000003</v>
      </c>
      <c r="AP60" s="57">
        <f t="shared" si="230"/>
        <v>138469.50000000003</v>
      </c>
      <c r="AQ60" s="57">
        <f t="shared" si="230"/>
        <v>138469.50000000003</v>
      </c>
      <c r="AR60" s="57">
        <f t="shared" si="230"/>
        <v>138469.50000000003</v>
      </c>
      <c r="AS60" s="57">
        <f t="shared" si="230"/>
        <v>138469.50000000003</v>
      </c>
      <c r="AT60" s="57">
        <f t="shared" si="230"/>
        <v>138469.50000000003</v>
      </c>
      <c r="AU60" s="57">
        <f t="shared" si="230"/>
        <v>138469.50000000003</v>
      </c>
      <c r="AV60" s="57">
        <f t="shared" si="230"/>
        <v>138469.50000000003</v>
      </c>
      <c r="AW60" s="57">
        <f t="shared" si="230"/>
        <v>138469.50000000003</v>
      </c>
      <c r="AX60" s="57">
        <f t="shared" si="230"/>
        <v>176806.15000000005</v>
      </c>
      <c r="AY60" s="57">
        <f t="shared" si="230"/>
        <v>176806.15000000005</v>
      </c>
      <c r="AZ60" s="57">
        <f t="shared" si="230"/>
        <v>176806.15000000005</v>
      </c>
      <c r="BA60" s="57">
        <f t="shared" si="230"/>
        <v>176806.15000000005</v>
      </c>
      <c r="BB60" s="57">
        <f t="shared" si="230"/>
        <v>176806.15000000005</v>
      </c>
      <c r="BC60" s="57">
        <f t="shared" si="230"/>
        <v>176806.15000000005</v>
      </c>
      <c r="BD60" s="57">
        <f t="shared" si="230"/>
        <v>176806.15000000005</v>
      </c>
      <c r="BE60" s="57">
        <f t="shared" si="230"/>
        <v>176806.15000000005</v>
      </c>
      <c r="BF60" s="57">
        <f t="shared" si="230"/>
        <v>176806.15000000005</v>
      </c>
      <c r="BG60" s="57">
        <f t="shared" si="230"/>
        <v>176806.15000000005</v>
      </c>
      <c r="BH60" s="57">
        <f t="shared" si="230"/>
        <v>176806.15000000005</v>
      </c>
      <c r="BI60" s="57">
        <f t="shared" si="230"/>
        <v>176806.15000000005</v>
      </c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</row>
    <row r="63" spans="1:102" ht="12.75">
      <c r="A63" s="202" t="s">
        <v>203</v>
      </c>
      <c r="B63" s="203" t="s">
        <v>105</v>
      </c>
      <c r="C63" s="203" t="s">
        <v>106</v>
      </c>
      <c r="D63" s="203" t="s">
        <v>107</v>
      </c>
      <c r="E63" s="203" t="s">
        <v>108</v>
      </c>
      <c r="F63" s="203" t="s">
        <v>109</v>
      </c>
    </row>
    <row r="64" spans="1:102">
      <c r="A64" s="204" t="s">
        <v>83</v>
      </c>
      <c r="B64" s="127"/>
      <c r="C64" s="127"/>
      <c r="D64" s="127"/>
      <c r="E64" s="127"/>
      <c r="F64" s="127"/>
    </row>
    <row r="65" spans="1:10">
      <c r="A65" s="205" t="s">
        <v>86</v>
      </c>
      <c r="B65" s="127">
        <f>SUM(B44:M44)</f>
        <v>96000</v>
      </c>
      <c r="C65" s="127">
        <f>SUM(N44:Y44)</f>
        <v>48000</v>
      </c>
      <c r="D65" s="127">
        <f>SUM(Z44:AK44)</f>
        <v>48000</v>
      </c>
      <c r="E65" s="127">
        <f>SUM(AL44:AW44)</f>
        <v>48000</v>
      </c>
      <c r="F65" s="127">
        <f>SUM(AX44:BI44)</f>
        <v>48000</v>
      </c>
    </row>
    <row r="66" spans="1:10">
      <c r="A66" s="204" t="s">
        <v>175</v>
      </c>
      <c r="B66" s="127">
        <f t="shared" ref="B66:B79" si="231">SUM(B45:M45)</f>
        <v>0</v>
      </c>
      <c r="C66" s="127">
        <f t="shared" ref="C66:C79" si="232">SUM(N45:Y45)</f>
        <v>0</v>
      </c>
      <c r="D66" s="127">
        <f t="shared" ref="D66:D79" si="233">SUM(Z45:AK45)</f>
        <v>0</v>
      </c>
      <c r="E66" s="127">
        <f t="shared" ref="E66:E79" si="234">SUM(AL45:AW45)</f>
        <v>0</v>
      </c>
      <c r="F66" s="127">
        <f t="shared" ref="F66:F79" si="235">SUM(AX45:BI45)</f>
        <v>0</v>
      </c>
    </row>
    <row r="67" spans="1:10">
      <c r="A67" s="205" t="s">
        <v>177</v>
      </c>
      <c r="B67" s="127">
        <f t="shared" si="231"/>
        <v>7200</v>
      </c>
      <c r="C67" s="127">
        <f t="shared" si="232"/>
        <v>7200</v>
      </c>
      <c r="D67" s="127">
        <f t="shared" si="233"/>
        <v>120000</v>
      </c>
      <c r="E67" s="127">
        <f t="shared" si="234"/>
        <v>132000</v>
      </c>
      <c r="F67" s="127">
        <f t="shared" si="235"/>
        <v>145200.00000000003</v>
      </c>
      <c r="G67" s="68">
        <v>4367.4885440415992</v>
      </c>
      <c r="H67" s="68"/>
      <c r="I67" s="68"/>
      <c r="J67" s="68"/>
    </row>
    <row r="68" spans="1:10">
      <c r="A68" s="205" t="s">
        <v>176</v>
      </c>
      <c r="B68" s="127">
        <f t="shared" si="231"/>
        <v>240000</v>
      </c>
      <c r="C68" s="127">
        <f t="shared" si="232"/>
        <v>264000</v>
      </c>
      <c r="D68" s="127">
        <f t="shared" si="233"/>
        <v>290400.00000000006</v>
      </c>
      <c r="E68" s="127">
        <f t="shared" si="234"/>
        <v>319440.00000000006</v>
      </c>
      <c r="F68" s="127">
        <f t="shared" si="235"/>
        <v>351384.00000000006</v>
      </c>
      <c r="G68" s="68">
        <v>5149.4541482959994</v>
      </c>
      <c r="H68" s="68"/>
      <c r="I68" s="68"/>
      <c r="J68" s="68"/>
    </row>
    <row r="69" spans="1:10">
      <c r="A69" s="205" t="s">
        <v>180</v>
      </c>
      <c r="B69" s="127">
        <f t="shared" si="231"/>
        <v>36000</v>
      </c>
      <c r="C69" s="127">
        <f t="shared" si="232"/>
        <v>39600.000000000007</v>
      </c>
      <c r="D69" s="127">
        <f t="shared" si="233"/>
        <v>43560.000000000007</v>
      </c>
      <c r="E69" s="127">
        <f t="shared" si="234"/>
        <v>47916.000000000007</v>
      </c>
      <c r="F69" s="127">
        <f t="shared" si="235"/>
        <v>52707.600000000028</v>
      </c>
      <c r="G69" s="68">
        <v>2802.7619750479994</v>
      </c>
      <c r="H69" s="68"/>
      <c r="I69" s="68"/>
      <c r="J69" s="68"/>
    </row>
    <row r="70" spans="1:10">
      <c r="A70" s="205" t="s">
        <v>99</v>
      </c>
      <c r="B70" s="127">
        <f t="shared" si="231"/>
        <v>0</v>
      </c>
      <c r="C70" s="127">
        <f t="shared" si="232"/>
        <v>0</v>
      </c>
      <c r="D70" s="127">
        <f t="shared" si="233"/>
        <v>21780.000000000004</v>
      </c>
      <c r="E70" s="127">
        <f t="shared" si="234"/>
        <v>23958.000000000004</v>
      </c>
      <c r="F70" s="127">
        <f t="shared" si="235"/>
        <v>26353.800000000014</v>
      </c>
      <c r="G70" s="68">
        <v>10587.220159947201</v>
      </c>
      <c r="H70" s="68"/>
      <c r="I70" s="68"/>
      <c r="J70" s="68"/>
    </row>
    <row r="71" spans="1:10">
      <c r="A71" s="204" t="s">
        <v>173</v>
      </c>
      <c r="B71" s="127">
        <f t="shared" si="231"/>
        <v>0</v>
      </c>
      <c r="C71" s="127">
        <f t="shared" si="232"/>
        <v>0</v>
      </c>
      <c r="D71" s="127">
        <f t="shared" si="233"/>
        <v>0</v>
      </c>
      <c r="E71" s="127">
        <f t="shared" si="234"/>
        <v>0</v>
      </c>
      <c r="F71" s="127">
        <f t="shared" si="235"/>
        <v>0</v>
      </c>
      <c r="G71" s="68">
        <v>11665.287110399999</v>
      </c>
      <c r="H71" s="68"/>
      <c r="I71" s="68"/>
      <c r="J71" s="68"/>
    </row>
    <row r="72" spans="1:10">
      <c r="A72" s="205" t="s">
        <v>178</v>
      </c>
      <c r="B72" s="127">
        <f t="shared" si="231"/>
        <v>240000</v>
      </c>
      <c r="C72" s="127">
        <f t="shared" si="232"/>
        <v>264000</v>
      </c>
      <c r="D72" s="127">
        <f t="shared" si="233"/>
        <v>290400.00000000006</v>
      </c>
      <c r="E72" s="127">
        <f t="shared" si="234"/>
        <v>319440.00000000006</v>
      </c>
      <c r="F72" s="127">
        <f t="shared" si="235"/>
        <v>351384.00000000006</v>
      </c>
      <c r="G72" s="68">
        <v>11665.287110399999</v>
      </c>
      <c r="H72" s="68"/>
      <c r="I72" s="68"/>
      <c r="J72" s="68"/>
    </row>
    <row r="73" spans="1:10">
      <c r="A73" s="205" t="s">
        <v>181</v>
      </c>
      <c r="B73" s="127">
        <f t="shared" si="231"/>
        <v>168000</v>
      </c>
      <c r="C73" s="127">
        <f t="shared" si="232"/>
        <v>184800.00000000003</v>
      </c>
      <c r="D73" s="127">
        <f t="shared" si="233"/>
        <v>203280.00000000003</v>
      </c>
      <c r="E73" s="127">
        <f t="shared" si="234"/>
        <v>223608.00000000003</v>
      </c>
      <c r="F73" s="127">
        <f t="shared" si="235"/>
        <v>245968.80000000016</v>
      </c>
      <c r="G73" s="68">
        <v>3268.426601744</v>
      </c>
      <c r="H73" s="68"/>
      <c r="I73" s="68"/>
      <c r="J73" s="68"/>
    </row>
    <row r="74" spans="1:10">
      <c r="A74" s="205" t="s">
        <v>72</v>
      </c>
      <c r="B74" s="127">
        <f t="shared" si="231"/>
        <v>72000</v>
      </c>
      <c r="C74" s="127">
        <f t="shared" si="232"/>
        <v>79200.000000000015</v>
      </c>
      <c r="D74" s="127">
        <f t="shared" si="233"/>
        <v>87120.000000000015</v>
      </c>
      <c r="E74" s="127">
        <f t="shared" si="234"/>
        <v>143748.00000000003</v>
      </c>
      <c r="F74" s="127">
        <f t="shared" si="235"/>
        <v>210830.40000000011</v>
      </c>
      <c r="G74" s="68">
        <v>8257.5461761200004</v>
      </c>
      <c r="H74" s="68"/>
      <c r="I74" s="68"/>
      <c r="J74" s="68"/>
    </row>
    <row r="75" spans="1:10">
      <c r="A75" s="205" t="s">
        <v>99</v>
      </c>
      <c r="B75" s="127">
        <f t="shared" si="231"/>
        <v>0</v>
      </c>
      <c r="C75" s="127">
        <f t="shared" si="232"/>
        <v>0</v>
      </c>
      <c r="D75" s="127">
        <f t="shared" si="233"/>
        <v>21780.000000000004</v>
      </c>
      <c r="E75" s="127">
        <f t="shared" si="234"/>
        <v>23958.000000000004</v>
      </c>
      <c r="F75" s="127">
        <f t="shared" si="235"/>
        <v>26353.800000000014</v>
      </c>
      <c r="G75" s="68">
        <v>1212.6848686975998</v>
      </c>
      <c r="H75" s="68"/>
      <c r="I75" s="68"/>
      <c r="J75" s="68"/>
    </row>
    <row r="76" spans="1:10">
      <c r="A76" s="204" t="s">
        <v>174</v>
      </c>
      <c r="B76" s="127">
        <f t="shared" si="231"/>
        <v>0</v>
      </c>
      <c r="C76" s="127">
        <f t="shared" si="232"/>
        <v>0</v>
      </c>
      <c r="D76" s="127">
        <f t="shared" si="233"/>
        <v>0</v>
      </c>
      <c r="E76" s="127">
        <f t="shared" si="234"/>
        <v>0</v>
      </c>
      <c r="F76" s="127">
        <f t="shared" si="235"/>
        <v>0</v>
      </c>
      <c r="G76" s="68"/>
      <c r="H76" s="68"/>
      <c r="I76" s="68"/>
      <c r="J76" s="68"/>
    </row>
    <row r="77" spans="1:10">
      <c r="A77" s="205" t="s">
        <v>179</v>
      </c>
      <c r="B77" s="127">
        <f t="shared" si="231"/>
        <v>7200</v>
      </c>
      <c r="C77" s="127">
        <f t="shared" si="232"/>
        <v>7200</v>
      </c>
      <c r="D77" s="127">
        <f t="shared" si="233"/>
        <v>120000</v>
      </c>
      <c r="E77" s="127">
        <f t="shared" si="234"/>
        <v>132000</v>
      </c>
      <c r="F77" s="127">
        <f t="shared" si="235"/>
        <v>145200.00000000003</v>
      </c>
    </row>
    <row r="78" spans="1:10">
      <c r="A78" s="205" t="s">
        <v>74</v>
      </c>
      <c r="B78" s="127">
        <f t="shared" si="231"/>
        <v>84000</v>
      </c>
      <c r="C78" s="127">
        <f t="shared" si="232"/>
        <v>92400.000000000015</v>
      </c>
      <c r="D78" s="127">
        <f t="shared" si="233"/>
        <v>101640.00000000001</v>
      </c>
      <c r="E78" s="127">
        <f t="shared" si="234"/>
        <v>223608.00000000003</v>
      </c>
      <c r="F78" s="127">
        <f t="shared" si="235"/>
        <v>491937.60000000033</v>
      </c>
    </row>
    <row r="79" spans="1:10">
      <c r="A79" s="205" t="s">
        <v>99</v>
      </c>
      <c r="B79" s="127">
        <f t="shared" si="231"/>
        <v>0</v>
      </c>
      <c r="C79" s="127">
        <f t="shared" si="232"/>
        <v>0</v>
      </c>
      <c r="D79" s="127">
        <f t="shared" si="233"/>
        <v>0</v>
      </c>
      <c r="E79" s="127">
        <f t="shared" si="234"/>
        <v>23958.000000000004</v>
      </c>
      <c r="F79" s="127">
        <f t="shared" si="235"/>
        <v>26353.800000000014</v>
      </c>
    </row>
    <row r="80" spans="1:10">
      <c r="A80" s="206" t="s">
        <v>101</v>
      </c>
      <c r="B80" s="207">
        <f>SUM(B64:B79)</f>
        <v>950400</v>
      </c>
      <c r="C80" s="207">
        <f t="shared" ref="C80:F80" si="236">SUM(C64:C79)</f>
        <v>986400</v>
      </c>
      <c r="D80" s="207">
        <f t="shared" si="236"/>
        <v>1347960.0000000002</v>
      </c>
      <c r="E80" s="207">
        <f t="shared" si="236"/>
        <v>1661634.0000000002</v>
      </c>
      <c r="F80" s="207">
        <f t="shared" si="236"/>
        <v>2121673.8000000007</v>
      </c>
    </row>
    <row r="82" spans="1:6" ht="12.75">
      <c r="A82" s="202" t="s">
        <v>204</v>
      </c>
      <c r="B82" s="203" t="s">
        <v>105</v>
      </c>
      <c r="C82" s="203" t="s">
        <v>106</v>
      </c>
      <c r="D82" s="203" t="s">
        <v>107</v>
      </c>
      <c r="E82" s="203" t="s">
        <v>108</v>
      </c>
      <c r="F82" s="203" t="s">
        <v>109</v>
      </c>
    </row>
    <row r="83" spans="1:6">
      <c r="A83" s="204" t="s">
        <v>83</v>
      </c>
      <c r="B83" s="125"/>
      <c r="C83" s="125"/>
      <c r="D83" s="125"/>
      <c r="E83" s="125"/>
      <c r="F83" s="125"/>
    </row>
    <row r="84" spans="1:6">
      <c r="A84" s="205" t="s">
        <v>86</v>
      </c>
      <c r="B84" s="125">
        <v>4</v>
      </c>
      <c r="C84" s="125">
        <f t="shared" ref="C84:F84" si="237">B84</f>
        <v>4</v>
      </c>
      <c r="D84" s="125">
        <f t="shared" si="237"/>
        <v>4</v>
      </c>
      <c r="E84" s="125">
        <f t="shared" si="237"/>
        <v>4</v>
      </c>
      <c r="F84" s="125">
        <f t="shared" si="237"/>
        <v>4</v>
      </c>
    </row>
    <row r="85" spans="1:6">
      <c r="A85" s="204" t="s">
        <v>175</v>
      </c>
      <c r="B85" s="125"/>
      <c r="C85" s="125"/>
      <c r="D85" s="125"/>
      <c r="E85" s="125"/>
      <c r="F85" s="125"/>
    </row>
    <row r="86" spans="1:6">
      <c r="A86" s="205" t="s">
        <v>177</v>
      </c>
      <c r="B86" s="125">
        <v>1</v>
      </c>
      <c r="C86" s="125">
        <f t="shared" ref="C86:F89" si="238">B86</f>
        <v>1</v>
      </c>
      <c r="D86" s="125">
        <f t="shared" si="238"/>
        <v>1</v>
      </c>
      <c r="E86" s="125">
        <f t="shared" si="238"/>
        <v>1</v>
      </c>
      <c r="F86" s="125">
        <f t="shared" si="238"/>
        <v>1</v>
      </c>
    </row>
    <row r="87" spans="1:6">
      <c r="A87" s="205" t="s">
        <v>176</v>
      </c>
      <c r="B87" s="125">
        <v>1</v>
      </c>
      <c r="C87" s="125">
        <f t="shared" si="238"/>
        <v>1</v>
      </c>
      <c r="D87" s="125">
        <f t="shared" si="238"/>
        <v>1</v>
      </c>
      <c r="E87" s="125">
        <f t="shared" si="238"/>
        <v>1</v>
      </c>
      <c r="F87" s="125">
        <f t="shared" si="238"/>
        <v>1</v>
      </c>
    </row>
    <row r="88" spans="1:6">
      <c r="A88" s="205" t="s">
        <v>180</v>
      </c>
      <c r="B88" s="125">
        <v>1</v>
      </c>
      <c r="C88" s="125">
        <f t="shared" si="238"/>
        <v>1</v>
      </c>
      <c r="D88" s="125">
        <v>1</v>
      </c>
      <c r="E88" s="125">
        <v>1</v>
      </c>
      <c r="F88" s="125">
        <v>1</v>
      </c>
    </row>
    <row r="89" spans="1:6">
      <c r="A89" s="205" t="s">
        <v>99</v>
      </c>
      <c r="B89" s="125">
        <v>0</v>
      </c>
      <c r="C89" s="125">
        <f t="shared" si="238"/>
        <v>0</v>
      </c>
      <c r="D89" s="125">
        <v>1</v>
      </c>
      <c r="E89" s="125">
        <v>1</v>
      </c>
      <c r="F89" s="125">
        <v>1</v>
      </c>
    </row>
    <row r="90" spans="1:6">
      <c r="A90" s="204" t="s">
        <v>173</v>
      </c>
      <c r="B90" s="125"/>
      <c r="C90" s="125"/>
      <c r="D90" s="125"/>
      <c r="E90" s="125"/>
      <c r="F90" s="125"/>
    </row>
    <row r="91" spans="1:6">
      <c r="A91" s="205" t="s">
        <v>178</v>
      </c>
      <c r="B91" s="125">
        <v>1</v>
      </c>
      <c r="C91" s="125">
        <f t="shared" ref="C91:F91" si="239">B91</f>
        <v>1</v>
      </c>
      <c r="D91" s="125">
        <f t="shared" si="239"/>
        <v>1</v>
      </c>
      <c r="E91" s="125">
        <f t="shared" si="239"/>
        <v>1</v>
      </c>
      <c r="F91" s="125">
        <f t="shared" si="239"/>
        <v>1</v>
      </c>
    </row>
    <row r="92" spans="1:6">
      <c r="A92" s="205" t="s">
        <v>181</v>
      </c>
      <c r="B92" s="125">
        <v>2</v>
      </c>
      <c r="C92" s="125">
        <v>2</v>
      </c>
      <c r="D92" s="125">
        <v>2</v>
      </c>
      <c r="E92" s="125">
        <v>2</v>
      </c>
      <c r="F92" s="125">
        <v>2</v>
      </c>
    </row>
    <row r="93" spans="1:6">
      <c r="A93" s="205" t="s">
        <v>72</v>
      </c>
      <c r="B93" s="125">
        <v>2</v>
      </c>
      <c r="C93" s="125">
        <v>2</v>
      </c>
      <c r="D93" s="125">
        <v>2</v>
      </c>
      <c r="E93" s="125">
        <v>3</v>
      </c>
      <c r="F93" s="125">
        <v>4</v>
      </c>
    </row>
    <row r="94" spans="1:6">
      <c r="A94" s="205" t="s">
        <v>99</v>
      </c>
      <c r="B94" s="125">
        <v>0</v>
      </c>
      <c r="C94" s="125">
        <f t="shared" ref="C94" si="240">B94</f>
        <v>0</v>
      </c>
      <c r="D94" s="125">
        <v>1</v>
      </c>
      <c r="E94" s="125">
        <f t="shared" ref="E94:F94" si="241">D94</f>
        <v>1</v>
      </c>
      <c r="F94" s="125">
        <f t="shared" si="241"/>
        <v>1</v>
      </c>
    </row>
    <row r="95" spans="1:6">
      <c r="A95" s="204" t="s">
        <v>174</v>
      </c>
      <c r="B95" s="125"/>
      <c r="C95" s="125"/>
      <c r="D95" s="125"/>
      <c r="E95" s="125"/>
      <c r="F95" s="125"/>
    </row>
    <row r="96" spans="1:6">
      <c r="A96" s="205" t="s">
        <v>179</v>
      </c>
      <c r="B96" s="125">
        <v>1</v>
      </c>
      <c r="C96" s="125">
        <f t="shared" ref="C96:F97" si="242">B96</f>
        <v>1</v>
      </c>
      <c r="D96" s="125">
        <f t="shared" si="242"/>
        <v>1</v>
      </c>
      <c r="E96" s="125">
        <f t="shared" si="242"/>
        <v>1</v>
      </c>
      <c r="F96" s="125">
        <f t="shared" si="242"/>
        <v>1</v>
      </c>
    </row>
    <row r="97" spans="1:6">
      <c r="A97" s="205" t="s">
        <v>74</v>
      </c>
      <c r="B97" s="125">
        <v>1</v>
      </c>
      <c r="C97" s="125">
        <f t="shared" si="242"/>
        <v>1</v>
      </c>
      <c r="D97" s="125">
        <v>1</v>
      </c>
      <c r="E97" s="125">
        <v>2</v>
      </c>
      <c r="F97" s="125">
        <v>4</v>
      </c>
    </row>
    <row r="98" spans="1:6">
      <c r="A98" s="205" t="s">
        <v>99</v>
      </c>
      <c r="B98" s="125">
        <v>0</v>
      </c>
      <c r="C98" s="125">
        <v>0</v>
      </c>
      <c r="D98" s="125">
        <v>0</v>
      </c>
      <c r="E98" s="125">
        <v>1</v>
      </c>
      <c r="F98" s="125">
        <v>1</v>
      </c>
    </row>
    <row r="99" spans="1:6">
      <c r="A99" s="208" t="s">
        <v>205</v>
      </c>
      <c r="B99" s="210">
        <f>SUM(B86:B98)</f>
        <v>10</v>
      </c>
      <c r="C99" s="210">
        <f t="shared" ref="C99:F99" si="243">SUM(C86:C98)</f>
        <v>10</v>
      </c>
      <c r="D99" s="210">
        <f t="shared" si="243"/>
        <v>12</v>
      </c>
      <c r="E99" s="210">
        <f t="shared" si="243"/>
        <v>15</v>
      </c>
      <c r="F99" s="210">
        <f t="shared" si="243"/>
        <v>18</v>
      </c>
    </row>
    <row r="100" spans="1:6">
      <c r="A100" s="206" t="s">
        <v>206</v>
      </c>
      <c r="B100" s="209">
        <f>SUM(B83:B98)</f>
        <v>14</v>
      </c>
      <c r="C100" s="209">
        <f t="shared" ref="C100:F100" si="244">SUM(C83:C98)</f>
        <v>14</v>
      </c>
      <c r="D100" s="209">
        <f t="shared" si="244"/>
        <v>16</v>
      </c>
      <c r="E100" s="209">
        <f t="shared" si="244"/>
        <v>19</v>
      </c>
      <c r="F100" s="209">
        <f t="shared" si="244"/>
        <v>22</v>
      </c>
    </row>
  </sheetData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A179"/>
  <sheetViews>
    <sheetView topLeftCell="A25" zoomScale="80" zoomScaleNormal="80" zoomScalePageLayoutView="75" workbookViewId="0">
      <selection activeCell="F45" sqref="F45"/>
    </sheetView>
  </sheetViews>
  <sheetFormatPr defaultColWidth="8.85546875" defaultRowHeight="15"/>
  <cols>
    <col min="1" max="1" width="36.85546875" customWidth="1"/>
    <col min="2" max="2" width="20.42578125" customWidth="1"/>
    <col min="3" max="3" width="22" customWidth="1"/>
    <col min="4" max="4" width="21" customWidth="1"/>
    <col min="5" max="5" width="20.42578125" customWidth="1"/>
    <col min="6" max="6" width="20" bestFit="1" customWidth="1"/>
    <col min="7" max="8" width="18.42578125" bestFit="1" customWidth="1"/>
    <col min="9" max="9" width="20.7109375" customWidth="1"/>
    <col min="10" max="11" width="19.85546875" bestFit="1" customWidth="1"/>
    <col min="12" max="12" width="19.42578125" customWidth="1"/>
    <col min="13" max="13" width="19.85546875" bestFit="1" customWidth="1"/>
    <col min="14" max="14" width="21.85546875" customWidth="1"/>
    <col min="15" max="15" width="20.28515625" customWidth="1"/>
    <col min="16" max="17" width="19.85546875" bestFit="1" customWidth="1"/>
    <col min="18" max="18" width="19.140625" customWidth="1"/>
    <col min="19" max="21" width="19.85546875" bestFit="1" customWidth="1"/>
    <col min="22" max="22" width="20.42578125" customWidth="1"/>
    <col min="23" max="23" width="19.85546875" customWidth="1"/>
    <col min="24" max="24" width="21.85546875" customWidth="1"/>
    <col min="25" max="25" width="21.42578125" customWidth="1"/>
    <col min="26" max="26" width="21.85546875" customWidth="1"/>
    <col min="27" max="27" width="22.42578125" customWidth="1"/>
    <col min="28" max="28" width="19.28515625" customWidth="1"/>
    <col min="29" max="29" width="19.85546875" customWidth="1"/>
    <col min="30" max="35" width="19.5703125" bestFit="1" customWidth="1"/>
    <col min="36" max="37" width="17.85546875" bestFit="1" customWidth="1"/>
    <col min="38" max="38" width="18.85546875" customWidth="1"/>
    <col min="39" max="43" width="17.85546875" bestFit="1" customWidth="1"/>
    <col min="44" max="49" width="17.28515625" bestFit="1" customWidth="1"/>
    <col min="50" max="50" width="18.42578125" bestFit="1" customWidth="1"/>
    <col min="51" max="52" width="18.28515625" bestFit="1" customWidth="1"/>
    <col min="53" max="60" width="19.140625" bestFit="1" customWidth="1"/>
    <col min="61" max="61" width="19.7109375" customWidth="1"/>
    <col min="62" max="83" width="18.42578125" bestFit="1" customWidth="1"/>
    <col min="84" max="84" width="17" customWidth="1"/>
    <col min="85" max="85" width="21.140625" customWidth="1"/>
  </cols>
  <sheetData>
    <row r="1" spans="1:131" s="17" customFormat="1" ht="18">
      <c r="A1" s="227" t="s">
        <v>185</v>
      </c>
      <c r="B1" s="227"/>
      <c r="C1" s="22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</row>
    <row r="2" spans="1:131" s="17" customFormat="1">
      <c r="A2" s="6" t="str">
        <f>CONCATENATE(Company, ": ",start, " -  ",end)</f>
        <v>Tourbr.com: Mês 1 -  Mês 60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</row>
    <row r="3" spans="1:131" s="21" customFormat="1" ht="1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</row>
    <row r="4" spans="1:131" s="143" customFormat="1" ht="15.75">
      <c r="A4" s="150" t="s">
        <v>24</v>
      </c>
      <c r="B4" s="151">
        <v>1</v>
      </c>
      <c r="C4" s="151">
        <v>2</v>
      </c>
      <c r="D4" s="151">
        <v>3</v>
      </c>
      <c r="E4" s="151">
        <v>4</v>
      </c>
      <c r="F4" s="151">
        <v>5</v>
      </c>
      <c r="G4" s="151">
        <v>6</v>
      </c>
      <c r="H4" s="151">
        <v>7</v>
      </c>
      <c r="I4" s="151">
        <v>8</v>
      </c>
      <c r="J4" s="151">
        <v>9</v>
      </c>
      <c r="K4" s="151">
        <v>10</v>
      </c>
      <c r="L4" s="151">
        <v>11</v>
      </c>
      <c r="M4" s="151">
        <v>12</v>
      </c>
      <c r="N4" s="151">
        <v>13</v>
      </c>
      <c r="O4" s="151">
        <v>14</v>
      </c>
      <c r="P4" s="151">
        <v>15</v>
      </c>
      <c r="Q4" s="151">
        <v>16</v>
      </c>
      <c r="R4" s="151">
        <v>17</v>
      </c>
      <c r="S4" s="151">
        <v>18</v>
      </c>
      <c r="T4" s="151">
        <v>19</v>
      </c>
      <c r="U4" s="151">
        <v>20</v>
      </c>
      <c r="V4" s="151">
        <v>21</v>
      </c>
      <c r="W4" s="151">
        <v>22</v>
      </c>
      <c r="X4" s="151">
        <v>23</v>
      </c>
      <c r="Y4" s="151">
        <v>24</v>
      </c>
      <c r="Z4" s="151">
        <v>25</v>
      </c>
      <c r="AA4" s="151">
        <v>26</v>
      </c>
      <c r="AB4" s="151">
        <v>27</v>
      </c>
      <c r="AC4" s="151">
        <v>28</v>
      </c>
      <c r="AD4" s="151">
        <v>29</v>
      </c>
      <c r="AE4" s="151">
        <v>30</v>
      </c>
      <c r="AF4" s="151">
        <v>31</v>
      </c>
      <c r="AG4" s="151">
        <v>32</v>
      </c>
      <c r="AH4" s="151">
        <v>33</v>
      </c>
      <c r="AI4" s="151">
        <v>34</v>
      </c>
      <c r="AJ4" s="151">
        <v>35</v>
      </c>
      <c r="AK4" s="151">
        <v>36</v>
      </c>
      <c r="AL4" s="151">
        <v>37</v>
      </c>
      <c r="AM4" s="151">
        <v>38</v>
      </c>
      <c r="AN4" s="151">
        <v>39</v>
      </c>
      <c r="AO4" s="151">
        <v>40</v>
      </c>
      <c r="AP4" s="151">
        <v>41</v>
      </c>
      <c r="AQ4" s="151">
        <v>42</v>
      </c>
      <c r="AR4" s="151">
        <v>43</v>
      </c>
      <c r="AS4" s="151">
        <v>44</v>
      </c>
      <c r="AT4" s="151">
        <v>45</v>
      </c>
      <c r="AU4" s="151">
        <v>46</v>
      </c>
      <c r="AV4" s="151">
        <v>47</v>
      </c>
      <c r="AW4" s="151">
        <v>48</v>
      </c>
      <c r="AX4" s="151">
        <v>49</v>
      </c>
      <c r="AY4" s="151">
        <v>50</v>
      </c>
      <c r="AZ4" s="151">
        <v>51</v>
      </c>
      <c r="BA4" s="151">
        <v>52</v>
      </c>
      <c r="BB4" s="151">
        <v>53</v>
      </c>
      <c r="BC4" s="151">
        <v>54</v>
      </c>
      <c r="BD4" s="151">
        <v>55</v>
      </c>
      <c r="BE4" s="151">
        <v>56</v>
      </c>
      <c r="BF4" s="151">
        <v>57</v>
      </c>
      <c r="BG4" s="151">
        <v>58</v>
      </c>
      <c r="BH4" s="151">
        <v>59</v>
      </c>
      <c r="BI4" s="151">
        <v>60</v>
      </c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</row>
    <row r="5" spans="1:131" s="74" customFormat="1" ht="14.25">
      <c r="A5" s="216" t="s">
        <v>152</v>
      </c>
      <c r="B5" s="160">
        <f>Receita!B26</f>
        <v>5500</v>
      </c>
      <c r="C5" s="160">
        <f>Receita!C26</f>
        <v>11000</v>
      </c>
      <c r="D5" s="160">
        <f>Receita!D26</f>
        <v>16500</v>
      </c>
      <c r="E5" s="160">
        <f>Receita!E26</f>
        <v>22000</v>
      </c>
      <c r="F5" s="160">
        <f>Receita!F26</f>
        <v>27500</v>
      </c>
      <c r="G5" s="160">
        <f>Receita!G26</f>
        <v>33000</v>
      </c>
      <c r="H5" s="160">
        <f>Receita!H26</f>
        <v>38500</v>
      </c>
      <c r="I5" s="160">
        <f>Receita!I26</f>
        <v>44000</v>
      </c>
      <c r="J5" s="160">
        <f>Receita!J26</f>
        <v>49500</v>
      </c>
      <c r="K5" s="160">
        <f>Receita!K26</f>
        <v>55000</v>
      </c>
      <c r="L5" s="160">
        <f>Receita!L26</f>
        <v>60500</v>
      </c>
      <c r="M5" s="160">
        <f>Receita!M26</f>
        <v>66000</v>
      </c>
      <c r="N5" s="160">
        <f>Receita!N26</f>
        <v>71500</v>
      </c>
      <c r="O5" s="160">
        <f>Receita!O26</f>
        <v>77000</v>
      </c>
      <c r="P5" s="160">
        <f>Receita!P26</f>
        <v>82500</v>
      </c>
      <c r="Q5" s="160">
        <f>Receita!Q26</f>
        <v>88000</v>
      </c>
      <c r="R5" s="160">
        <f>Receita!R26</f>
        <v>93500</v>
      </c>
      <c r="S5" s="160">
        <f>Receita!S26</f>
        <v>99000</v>
      </c>
      <c r="T5" s="160">
        <f>Receita!T26</f>
        <v>104500</v>
      </c>
      <c r="U5" s="160">
        <f>Receita!U26</f>
        <v>110000</v>
      </c>
      <c r="V5" s="160">
        <f>Receita!V26</f>
        <v>115500</v>
      </c>
      <c r="W5" s="160">
        <f>Receita!W26</f>
        <v>121000</v>
      </c>
      <c r="X5" s="160">
        <f>Receita!X26</f>
        <v>126500</v>
      </c>
      <c r="Y5" s="160">
        <f>Receita!Y26</f>
        <v>132000</v>
      </c>
      <c r="Z5" s="160">
        <f>Receita!Z26</f>
        <v>130625</v>
      </c>
      <c r="AA5" s="160">
        <f>Receita!AA26</f>
        <v>135850</v>
      </c>
      <c r="AB5" s="160">
        <f>Receita!AB26</f>
        <v>141075</v>
      </c>
      <c r="AC5" s="160">
        <f>Receita!AC26</f>
        <v>146300</v>
      </c>
      <c r="AD5" s="160">
        <f>Receita!AD26</f>
        <v>151525</v>
      </c>
      <c r="AE5" s="160">
        <f>Receita!AE26</f>
        <v>156750</v>
      </c>
      <c r="AF5" s="160">
        <f>Receita!AF26</f>
        <v>161975</v>
      </c>
      <c r="AG5" s="160">
        <f>Receita!AG26</f>
        <v>167200</v>
      </c>
      <c r="AH5" s="160">
        <f>Receita!AH26</f>
        <v>172425</v>
      </c>
      <c r="AI5" s="160">
        <f>Receita!AI26</f>
        <v>177650</v>
      </c>
      <c r="AJ5" s="160">
        <f>Receita!AJ26</f>
        <v>182875</v>
      </c>
      <c r="AK5" s="160">
        <f>Receita!AK26</f>
        <v>188100</v>
      </c>
      <c r="AL5" s="160">
        <f>Receita!AL26</f>
        <v>193325</v>
      </c>
      <c r="AM5" s="160">
        <f>Receita!AM26</f>
        <v>198550</v>
      </c>
      <c r="AN5" s="160">
        <f>Receita!AN26</f>
        <v>203775</v>
      </c>
      <c r="AO5" s="160">
        <f>Receita!AO26</f>
        <v>209000</v>
      </c>
      <c r="AP5" s="160">
        <f>Receita!AP26</f>
        <v>214225</v>
      </c>
      <c r="AQ5" s="160">
        <f>Receita!AQ26</f>
        <v>219450</v>
      </c>
      <c r="AR5" s="160">
        <f>Receita!AR26</f>
        <v>224675</v>
      </c>
      <c r="AS5" s="160">
        <f>Receita!AS26</f>
        <v>229900</v>
      </c>
      <c r="AT5" s="160">
        <f>Receita!AT26</f>
        <v>235125</v>
      </c>
      <c r="AU5" s="160">
        <f>Receita!AU26</f>
        <v>240350</v>
      </c>
      <c r="AV5" s="160">
        <f>Receita!AV26</f>
        <v>245575</v>
      </c>
      <c r="AW5" s="160">
        <f>Receita!AW26</f>
        <v>250800</v>
      </c>
      <c r="AX5" s="160">
        <f>Receita!AX26</f>
        <v>256025</v>
      </c>
      <c r="AY5" s="160">
        <f>Receita!AY26</f>
        <v>261250</v>
      </c>
      <c r="AZ5" s="160">
        <f>Receita!AZ26</f>
        <v>266475</v>
      </c>
      <c r="BA5" s="160">
        <f>Receita!BA26</f>
        <v>271700</v>
      </c>
      <c r="BB5" s="160">
        <f>Receita!BB26</f>
        <v>276925</v>
      </c>
      <c r="BC5" s="160">
        <f>Receita!BC26</f>
        <v>282150</v>
      </c>
      <c r="BD5" s="160">
        <f>Receita!BD26</f>
        <v>287375</v>
      </c>
      <c r="BE5" s="160">
        <f>Receita!BE26</f>
        <v>292600</v>
      </c>
      <c r="BF5" s="160">
        <f>Receita!BF26</f>
        <v>297825</v>
      </c>
      <c r="BG5" s="160">
        <f>Receita!BG26</f>
        <v>303050</v>
      </c>
      <c r="BH5" s="160">
        <f>Receita!BH26</f>
        <v>308275</v>
      </c>
      <c r="BI5" s="160">
        <f>Receita!BI26</f>
        <v>313500</v>
      </c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  <c r="BU5" s="144"/>
      <c r="BV5" s="144"/>
      <c r="BW5" s="144"/>
      <c r="BX5" s="144"/>
      <c r="BY5" s="144"/>
      <c r="BZ5" s="144"/>
      <c r="CA5" s="144"/>
      <c r="CB5" s="144"/>
      <c r="CC5" s="144"/>
      <c r="CD5" s="144"/>
      <c r="CE5" s="144"/>
      <c r="CF5" s="144"/>
      <c r="CG5" s="144"/>
    </row>
    <row r="6" spans="1:131" s="74" customFormat="1" ht="14.25">
      <c r="A6" s="216" t="s">
        <v>150</v>
      </c>
      <c r="B6" s="160">
        <f>Receita!B10</f>
        <v>500</v>
      </c>
      <c r="C6" s="160">
        <f>Receita!C10</f>
        <v>500</v>
      </c>
      <c r="D6" s="160">
        <f>Receita!D10</f>
        <v>500</v>
      </c>
      <c r="E6" s="160">
        <f>Receita!E10</f>
        <v>500</v>
      </c>
      <c r="F6" s="160">
        <f>Receita!F10</f>
        <v>500</v>
      </c>
      <c r="G6" s="160">
        <f>Receita!G10</f>
        <v>500</v>
      </c>
      <c r="H6" s="160">
        <f>Receita!H10</f>
        <v>500</v>
      </c>
      <c r="I6" s="160">
        <f>Receita!I10</f>
        <v>500</v>
      </c>
      <c r="J6" s="160">
        <f>Receita!J10</f>
        <v>500</v>
      </c>
      <c r="K6" s="160">
        <f>Receita!K10</f>
        <v>500</v>
      </c>
      <c r="L6" s="160">
        <f>Receita!L10</f>
        <v>500</v>
      </c>
      <c r="M6" s="160">
        <f>Receita!M10</f>
        <v>500</v>
      </c>
      <c r="N6" s="160">
        <f>Receita!N10</f>
        <v>1920</v>
      </c>
      <c r="O6" s="160">
        <f>Receita!O10</f>
        <v>1920</v>
      </c>
      <c r="P6" s="160">
        <f>Receita!P10</f>
        <v>1920</v>
      </c>
      <c r="Q6" s="160">
        <f>Receita!Q10</f>
        <v>1920</v>
      </c>
      <c r="R6" s="160">
        <f>Receita!R10</f>
        <v>1920</v>
      </c>
      <c r="S6" s="160">
        <f>Receita!S10</f>
        <v>1920</v>
      </c>
      <c r="T6" s="160">
        <f>Receita!T10</f>
        <v>1920</v>
      </c>
      <c r="U6" s="160">
        <f>Receita!U10</f>
        <v>1920</v>
      </c>
      <c r="V6" s="160">
        <f>Receita!V10</f>
        <v>1920</v>
      </c>
      <c r="W6" s="160">
        <f>Receita!W10</f>
        <v>1920</v>
      </c>
      <c r="X6" s="160">
        <f>Receita!X10</f>
        <v>1920</v>
      </c>
      <c r="Y6" s="160">
        <f>Receita!Y10</f>
        <v>1920</v>
      </c>
      <c r="Z6" s="160">
        <f>Receita!Z10</f>
        <v>3840</v>
      </c>
      <c r="AA6" s="160">
        <f>Receita!AA10</f>
        <v>3840</v>
      </c>
      <c r="AB6" s="160">
        <f>Receita!AB10</f>
        <v>3840</v>
      </c>
      <c r="AC6" s="160">
        <f>Receita!AC10</f>
        <v>3840</v>
      </c>
      <c r="AD6" s="160">
        <f>Receita!AD10</f>
        <v>3840</v>
      </c>
      <c r="AE6" s="160">
        <f>Receita!AE10</f>
        <v>3840</v>
      </c>
      <c r="AF6" s="160">
        <f>Receita!AF10</f>
        <v>3840</v>
      </c>
      <c r="AG6" s="160">
        <f>Receita!AG10</f>
        <v>3840</v>
      </c>
      <c r="AH6" s="160">
        <f>Receita!AH10</f>
        <v>3840</v>
      </c>
      <c r="AI6" s="160">
        <f>Receita!AI10</f>
        <v>3840</v>
      </c>
      <c r="AJ6" s="160">
        <f>Receita!AJ10</f>
        <v>3840</v>
      </c>
      <c r="AK6" s="160">
        <f>Receita!AK10</f>
        <v>3840</v>
      </c>
      <c r="AL6" s="160">
        <f>Receita!AL10</f>
        <v>6240</v>
      </c>
      <c r="AM6" s="160">
        <f>Receita!AM10</f>
        <v>6240</v>
      </c>
      <c r="AN6" s="160">
        <f>Receita!AN10</f>
        <v>6240</v>
      </c>
      <c r="AO6" s="160">
        <f>Receita!AO10</f>
        <v>6240</v>
      </c>
      <c r="AP6" s="160">
        <f>Receita!AP10</f>
        <v>6240</v>
      </c>
      <c r="AQ6" s="160">
        <f>Receita!AQ10</f>
        <v>6240</v>
      </c>
      <c r="AR6" s="160">
        <f>Receita!AR10</f>
        <v>6240</v>
      </c>
      <c r="AS6" s="160">
        <f>Receita!AS10</f>
        <v>6240</v>
      </c>
      <c r="AT6" s="160">
        <f>Receita!AT10</f>
        <v>6240</v>
      </c>
      <c r="AU6" s="160">
        <f>Receita!AU10</f>
        <v>6240</v>
      </c>
      <c r="AV6" s="160">
        <f>Receita!AV10</f>
        <v>6240</v>
      </c>
      <c r="AW6" s="160">
        <f>Receita!AW10</f>
        <v>6240</v>
      </c>
      <c r="AX6" s="160">
        <f>Receita!AX10</f>
        <v>9600</v>
      </c>
      <c r="AY6" s="160">
        <f>Receita!AY10</f>
        <v>9600</v>
      </c>
      <c r="AZ6" s="160">
        <f>Receita!AZ10</f>
        <v>9600</v>
      </c>
      <c r="BA6" s="160">
        <f>Receita!BA10</f>
        <v>9600</v>
      </c>
      <c r="BB6" s="160">
        <f>Receita!BB10</f>
        <v>9600</v>
      </c>
      <c r="BC6" s="160">
        <f>Receita!BC10</f>
        <v>9600</v>
      </c>
      <c r="BD6" s="160">
        <f>Receita!BD10</f>
        <v>9600</v>
      </c>
      <c r="BE6" s="160">
        <f>Receita!BE10</f>
        <v>9600</v>
      </c>
      <c r="BF6" s="160">
        <f>Receita!BF10</f>
        <v>9600</v>
      </c>
      <c r="BG6" s="160">
        <f>Receita!BG10</f>
        <v>9600</v>
      </c>
      <c r="BH6" s="160">
        <f>Receita!BH10</f>
        <v>9600</v>
      </c>
      <c r="BI6" s="160">
        <f>Receita!BI10</f>
        <v>9600</v>
      </c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144"/>
    </row>
    <row r="7" spans="1:131" s="74" customFormat="1" ht="14.25">
      <c r="A7" s="216" t="s">
        <v>151</v>
      </c>
      <c r="B7" s="160">
        <f>Receita!B14</f>
        <v>10666.666666666666</v>
      </c>
      <c r="C7" s="160">
        <f>Receita!C14</f>
        <v>10666.666666666666</v>
      </c>
      <c r="D7" s="160">
        <f>Receita!D14</f>
        <v>10666.666666666666</v>
      </c>
      <c r="E7" s="160">
        <f>Receita!E14</f>
        <v>10666.666666666666</v>
      </c>
      <c r="F7" s="160">
        <f>Receita!F14</f>
        <v>10666.666666666666</v>
      </c>
      <c r="G7" s="160">
        <f>Receita!G14</f>
        <v>10666.666666666666</v>
      </c>
      <c r="H7" s="160">
        <f>Receita!H14</f>
        <v>10666.666666666666</v>
      </c>
      <c r="I7" s="160">
        <f>Receita!I14</f>
        <v>10666.666666666666</v>
      </c>
      <c r="J7" s="160">
        <f>Receita!J14</f>
        <v>10666.666666666666</v>
      </c>
      <c r="K7" s="160">
        <f>Receita!K14</f>
        <v>10666.666666666666</v>
      </c>
      <c r="L7" s="160">
        <f>Receita!L14</f>
        <v>10666.666666666666</v>
      </c>
      <c r="M7" s="160">
        <f>Receita!M14</f>
        <v>10666.666666666666</v>
      </c>
      <c r="N7" s="160">
        <f>Receita!N14</f>
        <v>23563.636363636364</v>
      </c>
      <c r="O7" s="160">
        <f>Receita!O14</f>
        <v>23563.636363636364</v>
      </c>
      <c r="P7" s="160">
        <f>Receita!P14</f>
        <v>23563.636363636364</v>
      </c>
      <c r="Q7" s="160">
        <f>Receita!Q14</f>
        <v>23563.636363636364</v>
      </c>
      <c r="R7" s="160">
        <f>Receita!R14</f>
        <v>23563.636363636364</v>
      </c>
      <c r="S7" s="160">
        <f>Receita!S14</f>
        <v>23563.636363636364</v>
      </c>
      <c r="T7" s="160">
        <f>Receita!T14</f>
        <v>23563.636363636364</v>
      </c>
      <c r="U7" s="160">
        <f>Receita!U14</f>
        <v>23563.636363636364</v>
      </c>
      <c r="V7" s="160">
        <f>Receita!V14</f>
        <v>23563.636363636364</v>
      </c>
      <c r="W7" s="160">
        <f>Receita!W14</f>
        <v>23563.636363636364</v>
      </c>
      <c r="X7" s="160">
        <f>Receita!X14</f>
        <v>23563.636363636364</v>
      </c>
      <c r="Y7" s="160">
        <f>Receita!Y14</f>
        <v>23563.636363636364</v>
      </c>
      <c r="Z7" s="160">
        <f>Receita!Z14</f>
        <v>40998.78787878788</v>
      </c>
      <c r="AA7" s="160">
        <f>Receita!AA14</f>
        <v>40998.78787878788</v>
      </c>
      <c r="AB7" s="160">
        <f>Receita!AB14</f>
        <v>40998.78787878788</v>
      </c>
      <c r="AC7" s="160">
        <f>Receita!AC14</f>
        <v>40998.78787878788</v>
      </c>
      <c r="AD7" s="160">
        <f>Receita!AD14</f>
        <v>40998.78787878788</v>
      </c>
      <c r="AE7" s="160">
        <f>Receita!AE14</f>
        <v>40998.78787878788</v>
      </c>
      <c r="AF7" s="160">
        <f>Receita!AF14</f>
        <v>40998.78787878788</v>
      </c>
      <c r="AG7" s="160">
        <f>Receita!AG14</f>
        <v>40998.78787878788</v>
      </c>
      <c r="AH7" s="160">
        <f>Receita!AH14</f>
        <v>40998.78787878788</v>
      </c>
      <c r="AI7" s="160">
        <f>Receita!AI14</f>
        <v>40998.78787878788</v>
      </c>
      <c r="AJ7" s="160">
        <f>Receita!AJ14</f>
        <v>40998.78787878788</v>
      </c>
      <c r="AK7" s="160">
        <f>Receita!AK14</f>
        <v>40998.78787878788</v>
      </c>
      <c r="AL7" s="160">
        <f>Receita!AL14</f>
        <v>68130.909090909088</v>
      </c>
      <c r="AM7" s="160">
        <f>Receita!AM14</f>
        <v>68130.909090909088</v>
      </c>
      <c r="AN7" s="160">
        <f>Receita!AN14</f>
        <v>68130.909090909088</v>
      </c>
      <c r="AO7" s="160">
        <f>Receita!AO14</f>
        <v>68130.909090909088</v>
      </c>
      <c r="AP7" s="160">
        <f>Receita!AP14</f>
        <v>68130.909090909088</v>
      </c>
      <c r="AQ7" s="160">
        <f>Receita!AQ14</f>
        <v>68130.909090909088</v>
      </c>
      <c r="AR7" s="160">
        <f>Receita!AR14</f>
        <v>68130.909090909088</v>
      </c>
      <c r="AS7" s="160">
        <f>Receita!AS14</f>
        <v>68130.909090909088</v>
      </c>
      <c r="AT7" s="160">
        <f>Receita!AT14</f>
        <v>68130.909090909088</v>
      </c>
      <c r="AU7" s="160">
        <f>Receita!AU14</f>
        <v>68130.909090909088</v>
      </c>
      <c r="AV7" s="160">
        <f>Receita!AV14</f>
        <v>68130.909090909088</v>
      </c>
      <c r="AW7" s="160">
        <f>Receita!AW14</f>
        <v>68130.909090909088</v>
      </c>
      <c r="AX7" s="160">
        <f>Receita!AX14</f>
        <v>105927.27272727272</v>
      </c>
      <c r="AY7" s="160">
        <f>Receita!AY14</f>
        <v>105927.27272727272</v>
      </c>
      <c r="AZ7" s="160">
        <f>Receita!AZ14</f>
        <v>105927.27272727272</v>
      </c>
      <c r="BA7" s="160">
        <f>Receita!BA14</f>
        <v>105927.27272727272</v>
      </c>
      <c r="BB7" s="160">
        <f>Receita!BB14</f>
        <v>105927.27272727272</v>
      </c>
      <c r="BC7" s="160">
        <f>Receita!BC14</f>
        <v>105927.27272727272</v>
      </c>
      <c r="BD7" s="160">
        <f>Receita!BD14</f>
        <v>105927.27272727272</v>
      </c>
      <c r="BE7" s="160">
        <f>Receita!BE14</f>
        <v>105927.27272727272</v>
      </c>
      <c r="BF7" s="160">
        <f>Receita!BF14</f>
        <v>105927.27272727272</v>
      </c>
      <c r="BG7" s="160">
        <f>Receita!BG14</f>
        <v>105927.27272727272</v>
      </c>
      <c r="BH7" s="160">
        <f>Receita!BH14</f>
        <v>105927.27272727272</v>
      </c>
      <c r="BI7" s="160">
        <f>Receita!BI14</f>
        <v>105927.27272727272</v>
      </c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</row>
    <row r="8" spans="1:131" s="74" customFormat="1" ht="14.25">
      <c r="A8" s="216" t="s">
        <v>158</v>
      </c>
      <c r="B8" s="160">
        <f>Receita!B22</f>
        <v>0</v>
      </c>
      <c r="C8" s="160">
        <f>Receita!C22</f>
        <v>0</v>
      </c>
      <c r="D8" s="160">
        <f>Receita!D22</f>
        <v>0</v>
      </c>
      <c r="E8" s="160">
        <f>Receita!E22</f>
        <v>0</v>
      </c>
      <c r="F8" s="160">
        <f>Receita!F22</f>
        <v>0</v>
      </c>
      <c r="G8" s="160">
        <f>Receita!G22</f>
        <v>0</v>
      </c>
      <c r="H8" s="160">
        <f>Receita!H22</f>
        <v>0</v>
      </c>
      <c r="I8" s="160">
        <f>Receita!I22</f>
        <v>0</v>
      </c>
      <c r="J8" s="160">
        <f>Receita!J22</f>
        <v>0</v>
      </c>
      <c r="K8" s="160">
        <f>Receita!K22</f>
        <v>0</v>
      </c>
      <c r="L8" s="160">
        <f>Receita!L22</f>
        <v>0</v>
      </c>
      <c r="M8" s="160">
        <f>Receita!M22</f>
        <v>0</v>
      </c>
      <c r="N8" s="160">
        <f>Receita!N22</f>
        <v>2200</v>
      </c>
      <c r="O8" s="160">
        <f>Receita!O22</f>
        <v>2200</v>
      </c>
      <c r="P8" s="160">
        <f>Receita!P22</f>
        <v>2200</v>
      </c>
      <c r="Q8" s="160">
        <f>Receita!Q22</f>
        <v>2200</v>
      </c>
      <c r="R8" s="160">
        <f>Receita!R22</f>
        <v>2200</v>
      </c>
      <c r="S8" s="160">
        <f>Receita!S22</f>
        <v>2200</v>
      </c>
      <c r="T8" s="160">
        <f>Receita!T22</f>
        <v>2200</v>
      </c>
      <c r="U8" s="160">
        <f>Receita!U22</f>
        <v>2200</v>
      </c>
      <c r="V8" s="160">
        <f>Receita!V22</f>
        <v>2200</v>
      </c>
      <c r="W8" s="160">
        <f>Receita!W22</f>
        <v>2200</v>
      </c>
      <c r="X8" s="160">
        <f>Receita!X22</f>
        <v>2200</v>
      </c>
      <c r="Y8" s="160">
        <f>Receita!Y22</f>
        <v>2200</v>
      </c>
      <c r="Z8" s="160">
        <f>Receita!Z22</f>
        <v>3135</v>
      </c>
      <c r="AA8" s="160">
        <f>Receita!AA22</f>
        <v>3135</v>
      </c>
      <c r="AB8" s="160">
        <f>Receita!AB22</f>
        <v>3135</v>
      </c>
      <c r="AC8" s="160">
        <f>Receita!AC22</f>
        <v>3135</v>
      </c>
      <c r="AD8" s="160">
        <f>Receita!AD22</f>
        <v>3135</v>
      </c>
      <c r="AE8" s="160">
        <f>Receita!AE22</f>
        <v>3135</v>
      </c>
      <c r="AF8" s="160">
        <f>Receita!AF22</f>
        <v>3135</v>
      </c>
      <c r="AG8" s="160">
        <f>Receita!AG22</f>
        <v>3135</v>
      </c>
      <c r="AH8" s="160">
        <f>Receita!AH22</f>
        <v>3135</v>
      </c>
      <c r="AI8" s="160">
        <f>Receita!AI22</f>
        <v>3135</v>
      </c>
      <c r="AJ8" s="160">
        <f>Receita!AJ22</f>
        <v>3135</v>
      </c>
      <c r="AK8" s="160">
        <f>Receita!AK22</f>
        <v>3135</v>
      </c>
      <c r="AL8" s="160">
        <f>Receita!AL22</f>
        <v>4023.25</v>
      </c>
      <c r="AM8" s="160">
        <f>Receita!AM22</f>
        <v>4023.25</v>
      </c>
      <c r="AN8" s="160">
        <f>Receita!AN22</f>
        <v>4023.25</v>
      </c>
      <c r="AO8" s="160">
        <f>Receita!AO22</f>
        <v>4023.25</v>
      </c>
      <c r="AP8" s="160">
        <f>Receita!AP22</f>
        <v>4023.25</v>
      </c>
      <c r="AQ8" s="160">
        <f>Receita!AQ22</f>
        <v>4023.25</v>
      </c>
      <c r="AR8" s="160">
        <f>Receita!AR22</f>
        <v>4023.25</v>
      </c>
      <c r="AS8" s="160">
        <f>Receita!AS22</f>
        <v>4023.25</v>
      </c>
      <c r="AT8" s="160">
        <f>Receita!AT22</f>
        <v>4023.25</v>
      </c>
      <c r="AU8" s="160">
        <f>Receita!AU22</f>
        <v>4023.25</v>
      </c>
      <c r="AV8" s="160">
        <f>Receita!AV22</f>
        <v>4023.25</v>
      </c>
      <c r="AW8" s="160">
        <f>Receita!AW22</f>
        <v>4023.25</v>
      </c>
      <c r="AX8" s="160">
        <f>Receita!AX22</f>
        <v>4867.0874999999987</v>
      </c>
      <c r="AY8" s="160">
        <f>Receita!AY22</f>
        <v>4867.0874999999987</v>
      </c>
      <c r="AZ8" s="160">
        <f>Receita!AZ22</f>
        <v>4867.0874999999987</v>
      </c>
      <c r="BA8" s="160">
        <f>Receita!BA22</f>
        <v>4867.0874999999987</v>
      </c>
      <c r="BB8" s="160">
        <f>Receita!BB22</f>
        <v>4867.0874999999987</v>
      </c>
      <c r="BC8" s="160">
        <f>Receita!BC22</f>
        <v>4867.0874999999987</v>
      </c>
      <c r="BD8" s="160">
        <f>Receita!BD22</f>
        <v>4867.0874999999987</v>
      </c>
      <c r="BE8" s="160">
        <f>Receita!BE22</f>
        <v>4867.0874999999987</v>
      </c>
      <c r="BF8" s="160">
        <f>Receita!BF22</f>
        <v>4867.0874999999987</v>
      </c>
      <c r="BG8" s="160">
        <f>Receita!BG22</f>
        <v>4867.0874999999987</v>
      </c>
      <c r="BH8" s="160">
        <f>Receita!BH22</f>
        <v>4867.0874999999987</v>
      </c>
      <c r="BI8" s="160">
        <f>Receita!BI22</f>
        <v>4867.0874999999987</v>
      </c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</row>
    <row r="9" spans="1:131" s="74" customFormat="1" ht="14.25">
      <c r="A9" s="216" t="s">
        <v>149</v>
      </c>
      <c r="B9" s="160">
        <f>Receita!B6</f>
        <v>11999.999999999998</v>
      </c>
      <c r="C9" s="160">
        <f>Receita!C6</f>
        <v>11999.999999999998</v>
      </c>
      <c r="D9" s="160">
        <f>Receita!D6</f>
        <v>11999.999999999998</v>
      </c>
      <c r="E9" s="160">
        <f>Receita!E6</f>
        <v>11999.999999999998</v>
      </c>
      <c r="F9" s="160">
        <f>Receita!F6</f>
        <v>11999.999999999998</v>
      </c>
      <c r="G9" s="160">
        <f>Receita!G6</f>
        <v>11999.999999999998</v>
      </c>
      <c r="H9" s="160">
        <f>Receita!H6</f>
        <v>11999.999999999998</v>
      </c>
      <c r="I9" s="160">
        <f>Receita!I6</f>
        <v>11999.999999999998</v>
      </c>
      <c r="J9" s="160">
        <f>Receita!J6</f>
        <v>11999.999999999998</v>
      </c>
      <c r="K9" s="160">
        <f>Receita!K6</f>
        <v>11999.999999999998</v>
      </c>
      <c r="L9" s="160">
        <f>Receita!L6</f>
        <v>11999.999999999998</v>
      </c>
      <c r="M9" s="160">
        <f>Receita!M6</f>
        <v>11999.999999999998</v>
      </c>
      <c r="N9" s="160">
        <f>Receita!N6</f>
        <v>24181.818181818177</v>
      </c>
      <c r="O9" s="160">
        <f>Receita!O6</f>
        <v>24181.818181818177</v>
      </c>
      <c r="P9" s="160">
        <f>Receita!P6</f>
        <v>24181.818181818177</v>
      </c>
      <c r="Q9" s="160">
        <f>Receita!Q6</f>
        <v>24181.818181818177</v>
      </c>
      <c r="R9" s="160">
        <f>Receita!R6</f>
        <v>24181.818181818177</v>
      </c>
      <c r="S9" s="160">
        <f>Receita!S6</f>
        <v>24181.818181818177</v>
      </c>
      <c r="T9" s="160">
        <f>Receita!T6</f>
        <v>24181.818181818177</v>
      </c>
      <c r="U9" s="160">
        <f>Receita!U6</f>
        <v>24181.818181818177</v>
      </c>
      <c r="V9" s="160">
        <f>Receita!V6</f>
        <v>24181.818181818177</v>
      </c>
      <c r="W9" s="160">
        <f>Receita!W6</f>
        <v>24181.818181818177</v>
      </c>
      <c r="X9" s="160">
        <f>Receita!X6</f>
        <v>24181.818181818177</v>
      </c>
      <c r="Y9" s="160">
        <f>Receita!Y6</f>
        <v>24181.818181818177</v>
      </c>
      <c r="Z9" s="160">
        <f>Receita!Z6</f>
        <v>32690.909090909088</v>
      </c>
      <c r="AA9" s="160">
        <f>Receita!AA6</f>
        <v>32690.909090909088</v>
      </c>
      <c r="AB9" s="160">
        <f>Receita!AB6</f>
        <v>32690.909090909088</v>
      </c>
      <c r="AC9" s="160">
        <f>Receita!AC6</f>
        <v>32690.909090909088</v>
      </c>
      <c r="AD9" s="160">
        <f>Receita!AD6</f>
        <v>32690.909090909088</v>
      </c>
      <c r="AE9" s="160">
        <f>Receita!AE6</f>
        <v>32690.909090909088</v>
      </c>
      <c r="AF9" s="160">
        <f>Receita!AF6</f>
        <v>32690.909090909088</v>
      </c>
      <c r="AG9" s="160">
        <f>Receita!AG6</f>
        <v>32690.909090909088</v>
      </c>
      <c r="AH9" s="160">
        <f>Receita!AH6</f>
        <v>32690.909090909088</v>
      </c>
      <c r="AI9" s="160">
        <f>Receita!AI6</f>
        <v>32690.909090909088</v>
      </c>
      <c r="AJ9" s="160">
        <f>Receita!AJ6</f>
        <v>32690.909090909088</v>
      </c>
      <c r="AK9" s="160">
        <f>Receita!AK6</f>
        <v>32690.909090909088</v>
      </c>
      <c r="AL9" s="160">
        <f>Receita!AL6</f>
        <v>50872.727272727272</v>
      </c>
      <c r="AM9" s="160">
        <f>Receita!AM6</f>
        <v>50872.727272727272</v>
      </c>
      <c r="AN9" s="160">
        <f>Receita!AN6</f>
        <v>50872.727272727272</v>
      </c>
      <c r="AO9" s="160">
        <f>Receita!AO6</f>
        <v>50872.727272727272</v>
      </c>
      <c r="AP9" s="160">
        <f>Receita!AP6</f>
        <v>50872.727272727272</v>
      </c>
      <c r="AQ9" s="160">
        <f>Receita!AQ6</f>
        <v>50872.727272727272</v>
      </c>
      <c r="AR9" s="160">
        <f>Receita!AR6</f>
        <v>50872.727272727272</v>
      </c>
      <c r="AS9" s="160">
        <f>Receita!AS6</f>
        <v>50872.727272727272</v>
      </c>
      <c r="AT9" s="160">
        <f>Receita!AT6</f>
        <v>50872.727272727272</v>
      </c>
      <c r="AU9" s="160">
        <f>Receita!AU6</f>
        <v>50872.727272727272</v>
      </c>
      <c r="AV9" s="160">
        <f>Receita!AV6</f>
        <v>50872.727272727272</v>
      </c>
      <c r="AW9" s="160">
        <f>Receita!AW6</f>
        <v>50872.727272727272</v>
      </c>
      <c r="AX9" s="160">
        <f>Receita!AX6</f>
        <v>94490.909090909088</v>
      </c>
      <c r="AY9" s="160">
        <f>Receita!AY6</f>
        <v>94490.909090909088</v>
      </c>
      <c r="AZ9" s="160">
        <f>Receita!AZ6</f>
        <v>94490.909090909088</v>
      </c>
      <c r="BA9" s="160">
        <f>Receita!BA6</f>
        <v>94490.909090909088</v>
      </c>
      <c r="BB9" s="160">
        <f>Receita!BB6</f>
        <v>94490.909090909088</v>
      </c>
      <c r="BC9" s="160">
        <f>Receita!BC6</f>
        <v>94490.909090909088</v>
      </c>
      <c r="BD9" s="160">
        <f>Receita!BD6</f>
        <v>94490.909090909088</v>
      </c>
      <c r="BE9" s="160">
        <f>Receita!BE6</f>
        <v>94490.909090909088</v>
      </c>
      <c r="BF9" s="160">
        <f>Receita!BF6</f>
        <v>94490.909090909088</v>
      </c>
      <c r="BG9" s="160">
        <f>Receita!BG6</f>
        <v>94490.909090909088</v>
      </c>
      <c r="BH9" s="160">
        <f>Receita!BH6</f>
        <v>94490.909090909088</v>
      </c>
      <c r="BI9" s="160">
        <f>Receita!BI6</f>
        <v>94490.909090909088</v>
      </c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</row>
    <row r="10" spans="1:131" s="44" customFormat="1">
      <c r="A10" s="216" t="s">
        <v>165</v>
      </c>
      <c r="B10" s="161">
        <f>Receita!B18</f>
        <v>2200.0000000000005</v>
      </c>
      <c r="C10" s="161">
        <f>Receita!C18</f>
        <v>2200.0000000000005</v>
      </c>
      <c r="D10" s="161">
        <f>Receita!D18</f>
        <v>2200.0000000000005</v>
      </c>
      <c r="E10" s="161">
        <f>Receita!E18</f>
        <v>2200.0000000000005</v>
      </c>
      <c r="F10" s="161">
        <f>Receita!F18</f>
        <v>2200.0000000000005</v>
      </c>
      <c r="G10" s="161">
        <f>Receita!G18</f>
        <v>2200.0000000000005</v>
      </c>
      <c r="H10" s="161">
        <f>Receita!H18</f>
        <v>2200.0000000000005</v>
      </c>
      <c r="I10" s="161">
        <f>Receita!I18</f>
        <v>2200.0000000000005</v>
      </c>
      <c r="J10" s="161">
        <f>Receita!J18</f>
        <v>2200.0000000000005</v>
      </c>
      <c r="K10" s="161">
        <f>Receita!K18</f>
        <v>2200.0000000000005</v>
      </c>
      <c r="L10" s="161">
        <f>Receita!L18</f>
        <v>2200.0000000000005</v>
      </c>
      <c r="M10" s="161">
        <f>Receita!M18</f>
        <v>2200.0000000000005</v>
      </c>
      <c r="N10" s="161">
        <f>Receita!N18</f>
        <v>4400.0000000000009</v>
      </c>
      <c r="O10" s="161">
        <f>Receita!O18</f>
        <v>4400.0000000000009</v>
      </c>
      <c r="P10" s="161">
        <f>Receita!P18</f>
        <v>4400.0000000000009</v>
      </c>
      <c r="Q10" s="161">
        <f>Receita!Q18</f>
        <v>4400.0000000000009</v>
      </c>
      <c r="R10" s="161">
        <f>Receita!R18</f>
        <v>4400.0000000000009</v>
      </c>
      <c r="S10" s="161">
        <f>Receita!S18</f>
        <v>4400.0000000000009</v>
      </c>
      <c r="T10" s="161">
        <f>Receita!T18</f>
        <v>4400.0000000000009</v>
      </c>
      <c r="U10" s="161">
        <f>Receita!U18</f>
        <v>4400.0000000000009</v>
      </c>
      <c r="V10" s="161">
        <f>Receita!V18</f>
        <v>4400.0000000000009</v>
      </c>
      <c r="W10" s="161">
        <f>Receita!W18</f>
        <v>4400.0000000000009</v>
      </c>
      <c r="X10" s="161">
        <f>Receita!X18</f>
        <v>4400.0000000000009</v>
      </c>
      <c r="Y10" s="161">
        <f>Receita!Y18</f>
        <v>4400.0000000000009</v>
      </c>
      <c r="Z10" s="161">
        <f>Receita!Z18</f>
        <v>6270</v>
      </c>
      <c r="AA10" s="161">
        <f>Receita!AA18</f>
        <v>6270</v>
      </c>
      <c r="AB10" s="161">
        <f>Receita!AB18</f>
        <v>6270</v>
      </c>
      <c r="AC10" s="161">
        <f>Receita!AC18</f>
        <v>6270</v>
      </c>
      <c r="AD10" s="161">
        <f>Receita!AD18</f>
        <v>6270</v>
      </c>
      <c r="AE10" s="161">
        <f>Receita!AE18</f>
        <v>6270</v>
      </c>
      <c r="AF10" s="161">
        <f>Receita!AF18</f>
        <v>6270</v>
      </c>
      <c r="AG10" s="161">
        <f>Receita!AG18</f>
        <v>6270</v>
      </c>
      <c r="AH10" s="161">
        <f>Receita!AH18</f>
        <v>6270</v>
      </c>
      <c r="AI10" s="161">
        <f>Receita!AI18</f>
        <v>6270</v>
      </c>
      <c r="AJ10" s="161">
        <f>Receita!AJ18</f>
        <v>6270</v>
      </c>
      <c r="AK10" s="161">
        <f>Receita!AK18</f>
        <v>6270</v>
      </c>
      <c r="AL10" s="161">
        <f>Receita!AL18</f>
        <v>8046.5</v>
      </c>
      <c r="AM10" s="161">
        <f>Receita!AM18</f>
        <v>8046.5</v>
      </c>
      <c r="AN10" s="161">
        <f>Receita!AN18</f>
        <v>8046.5</v>
      </c>
      <c r="AO10" s="161">
        <f>Receita!AO18</f>
        <v>8046.5</v>
      </c>
      <c r="AP10" s="161">
        <f>Receita!AP18</f>
        <v>8046.5</v>
      </c>
      <c r="AQ10" s="161">
        <f>Receita!AQ18</f>
        <v>8046.5</v>
      </c>
      <c r="AR10" s="161">
        <f>Receita!AR18</f>
        <v>8046.5</v>
      </c>
      <c r="AS10" s="161">
        <f>Receita!AS18</f>
        <v>8046.5</v>
      </c>
      <c r="AT10" s="161">
        <f>Receita!AT18</f>
        <v>8046.5</v>
      </c>
      <c r="AU10" s="161">
        <f>Receita!AU18</f>
        <v>8046.5</v>
      </c>
      <c r="AV10" s="161">
        <f>Receita!AV18</f>
        <v>8046.5</v>
      </c>
      <c r="AW10" s="161">
        <f>Receita!AW18</f>
        <v>8046.5</v>
      </c>
      <c r="AX10" s="161">
        <f>Receita!AX18</f>
        <v>9734.1749999999993</v>
      </c>
      <c r="AY10" s="161">
        <f>Receita!AY18</f>
        <v>9734.1749999999993</v>
      </c>
      <c r="AZ10" s="161">
        <f>Receita!AZ18</f>
        <v>9734.1749999999993</v>
      </c>
      <c r="BA10" s="161">
        <f>Receita!BA18</f>
        <v>9734.1749999999993</v>
      </c>
      <c r="BB10" s="161">
        <f>Receita!BB18</f>
        <v>9734.1749999999993</v>
      </c>
      <c r="BC10" s="161">
        <f>Receita!BC18</f>
        <v>9734.1749999999993</v>
      </c>
      <c r="BD10" s="161">
        <f>Receita!BD18</f>
        <v>9734.1749999999993</v>
      </c>
      <c r="BE10" s="161">
        <f>Receita!BE18</f>
        <v>9734.1749999999993</v>
      </c>
      <c r="BF10" s="161">
        <f>Receita!BF18</f>
        <v>9734.1749999999993</v>
      </c>
      <c r="BG10" s="161">
        <f>Receita!BG18</f>
        <v>9734.1749999999993</v>
      </c>
      <c r="BH10" s="161">
        <f>Receita!BH18</f>
        <v>9734.1749999999993</v>
      </c>
      <c r="BI10" s="161">
        <f>Receita!BI18</f>
        <v>9734.1749999999993</v>
      </c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</row>
    <row r="11" spans="1:131" s="80" customFormat="1" ht="15.75">
      <c r="A11" s="150" t="s">
        <v>191</v>
      </c>
      <c r="B11" s="162">
        <f>SUM(B5:B10)</f>
        <v>30866.666666666664</v>
      </c>
      <c r="C11" s="162">
        <f t="shared" ref="C11:BI11" si="0">SUM(C5:C10)</f>
        <v>36366.666666666664</v>
      </c>
      <c r="D11" s="162">
        <f t="shared" si="0"/>
        <v>41866.666666666664</v>
      </c>
      <c r="E11" s="162">
        <f t="shared" si="0"/>
        <v>47366.666666666664</v>
      </c>
      <c r="F11" s="162">
        <f t="shared" si="0"/>
        <v>52866.666666666664</v>
      </c>
      <c r="G11" s="162">
        <f t="shared" si="0"/>
        <v>58366.666666666664</v>
      </c>
      <c r="H11" s="162">
        <f t="shared" si="0"/>
        <v>63866.666666666664</v>
      </c>
      <c r="I11" s="162">
        <f t="shared" si="0"/>
        <v>69366.666666666657</v>
      </c>
      <c r="J11" s="162">
        <f t="shared" si="0"/>
        <v>74866.666666666657</v>
      </c>
      <c r="K11" s="162">
        <f t="shared" si="0"/>
        <v>80366.666666666672</v>
      </c>
      <c r="L11" s="162">
        <f t="shared" si="0"/>
        <v>85866.666666666672</v>
      </c>
      <c r="M11" s="162">
        <f t="shared" si="0"/>
        <v>91366.666666666672</v>
      </c>
      <c r="N11" s="162">
        <f t="shared" si="0"/>
        <v>127765.45454545454</v>
      </c>
      <c r="O11" s="162">
        <f t="shared" si="0"/>
        <v>133265.45454545456</v>
      </c>
      <c r="P11" s="162">
        <f t="shared" si="0"/>
        <v>138765.45454545453</v>
      </c>
      <c r="Q11" s="162">
        <f t="shared" si="0"/>
        <v>144265.45454545453</v>
      </c>
      <c r="R11" s="162">
        <f t="shared" si="0"/>
        <v>149765.45454545453</v>
      </c>
      <c r="S11" s="162">
        <f t="shared" si="0"/>
        <v>155265.45454545453</v>
      </c>
      <c r="T11" s="162">
        <f t="shared" si="0"/>
        <v>160765.45454545453</v>
      </c>
      <c r="U11" s="162">
        <f t="shared" si="0"/>
        <v>166265.45454545453</v>
      </c>
      <c r="V11" s="162">
        <f t="shared" si="0"/>
        <v>171765.45454545453</v>
      </c>
      <c r="W11" s="162">
        <f t="shared" si="0"/>
        <v>177265.45454545453</v>
      </c>
      <c r="X11" s="162">
        <f t="shared" si="0"/>
        <v>182765.45454545453</v>
      </c>
      <c r="Y11" s="162">
        <f t="shared" si="0"/>
        <v>188265.45454545453</v>
      </c>
      <c r="Z11" s="162">
        <f t="shared" si="0"/>
        <v>217559.69696969696</v>
      </c>
      <c r="AA11" s="162">
        <f t="shared" si="0"/>
        <v>222784.69696969696</v>
      </c>
      <c r="AB11" s="162">
        <f t="shared" si="0"/>
        <v>228009.69696969696</v>
      </c>
      <c r="AC11" s="162">
        <f t="shared" si="0"/>
        <v>233234.69696969696</v>
      </c>
      <c r="AD11" s="162">
        <f t="shared" si="0"/>
        <v>238459.69696969696</v>
      </c>
      <c r="AE11" s="162">
        <f t="shared" si="0"/>
        <v>243684.69696969696</v>
      </c>
      <c r="AF11" s="162">
        <f t="shared" si="0"/>
        <v>248909.69696969696</v>
      </c>
      <c r="AG11" s="162">
        <f t="shared" si="0"/>
        <v>254134.69696969696</v>
      </c>
      <c r="AH11" s="162">
        <f t="shared" si="0"/>
        <v>259359.69696969696</v>
      </c>
      <c r="AI11" s="162">
        <f t="shared" si="0"/>
        <v>264584.69696969696</v>
      </c>
      <c r="AJ11" s="162">
        <f t="shared" si="0"/>
        <v>269809.69696969696</v>
      </c>
      <c r="AK11" s="162">
        <f t="shared" si="0"/>
        <v>275034.69696969696</v>
      </c>
      <c r="AL11" s="162">
        <f t="shared" si="0"/>
        <v>330638.38636363635</v>
      </c>
      <c r="AM11" s="162">
        <f t="shared" si="0"/>
        <v>335863.38636363635</v>
      </c>
      <c r="AN11" s="162">
        <f t="shared" si="0"/>
        <v>341088.38636363635</v>
      </c>
      <c r="AO11" s="162">
        <f t="shared" si="0"/>
        <v>346313.38636363635</v>
      </c>
      <c r="AP11" s="162">
        <f t="shared" si="0"/>
        <v>351538.38636363635</v>
      </c>
      <c r="AQ11" s="162">
        <f t="shared" si="0"/>
        <v>356763.38636363635</v>
      </c>
      <c r="AR11" s="162">
        <f t="shared" si="0"/>
        <v>361988.38636363635</v>
      </c>
      <c r="AS11" s="162">
        <f t="shared" si="0"/>
        <v>367213.38636363635</v>
      </c>
      <c r="AT11" s="162">
        <f t="shared" si="0"/>
        <v>372438.38636363635</v>
      </c>
      <c r="AU11" s="162">
        <f t="shared" si="0"/>
        <v>377663.38636363635</v>
      </c>
      <c r="AV11" s="162">
        <f t="shared" si="0"/>
        <v>382888.38636363635</v>
      </c>
      <c r="AW11" s="162">
        <f t="shared" si="0"/>
        <v>388113.38636363635</v>
      </c>
      <c r="AX11" s="162">
        <f t="shared" si="0"/>
        <v>480644.44431818178</v>
      </c>
      <c r="AY11" s="162">
        <f t="shared" si="0"/>
        <v>485869.44431818178</v>
      </c>
      <c r="AZ11" s="162">
        <f t="shared" si="0"/>
        <v>491094.44431818178</v>
      </c>
      <c r="BA11" s="162">
        <f t="shared" si="0"/>
        <v>496319.44431818178</v>
      </c>
      <c r="BB11" s="162">
        <f t="shared" si="0"/>
        <v>501544.44431818178</v>
      </c>
      <c r="BC11" s="162">
        <f t="shared" si="0"/>
        <v>506769.44431818178</v>
      </c>
      <c r="BD11" s="162">
        <f t="shared" si="0"/>
        <v>511994.44431818178</v>
      </c>
      <c r="BE11" s="162">
        <f t="shared" si="0"/>
        <v>517219.44431818178</v>
      </c>
      <c r="BF11" s="162">
        <f t="shared" si="0"/>
        <v>522444.44431818178</v>
      </c>
      <c r="BG11" s="162">
        <f t="shared" si="0"/>
        <v>527669.44431818184</v>
      </c>
      <c r="BH11" s="162">
        <f t="shared" si="0"/>
        <v>532894.44431818184</v>
      </c>
      <c r="BI11" s="162">
        <f t="shared" si="0"/>
        <v>538119.44431818184</v>
      </c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</row>
    <row r="12" spans="1:131" s="58" customFormat="1" ht="15.75">
      <c r="A12" s="152" t="s">
        <v>192</v>
      </c>
      <c r="B12" s="163">
        <f>imp_fat*Resultados!B11</f>
        <v>2669.9666666666662</v>
      </c>
      <c r="C12" s="163">
        <f>imp_fat*Resultados!C11</f>
        <v>3145.7166666666662</v>
      </c>
      <c r="D12" s="163">
        <f>imp_fat*Resultados!D11</f>
        <v>3621.4666666666662</v>
      </c>
      <c r="E12" s="163">
        <f>imp_fat*Resultados!E11</f>
        <v>4097.2166666666662</v>
      </c>
      <c r="F12" s="163">
        <f>imp_fat*Resultados!F11</f>
        <v>4572.9666666666662</v>
      </c>
      <c r="G12" s="163">
        <f>imp_fat*Resultados!G11</f>
        <v>5048.7166666666662</v>
      </c>
      <c r="H12" s="163">
        <f>imp_fat*Resultados!H11</f>
        <v>5524.4666666666662</v>
      </c>
      <c r="I12" s="163">
        <f>imp_fat*Resultados!I11</f>
        <v>6000.2166666666653</v>
      </c>
      <c r="J12" s="163">
        <f>imp_fat*Resultados!J11</f>
        <v>6475.9666666666653</v>
      </c>
      <c r="K12" s="163">
        <f>imp_fat*Resultados!K11</f>
        <v>6951.7166666666662</v>
      </c>
      <c r="L12" s="163">
        <f>imp_fat*Resultados!L11</f>
        <v>7427.4666666666662</v>
      </c>
      <c r="M12" s="163">
        <f>imp_fat*Resultados!M11</f>
        <v>7903.2166666666662</v>
      </c>
      <c r="N12" s="163">
        <f>imp_fat*Resultados!N11</f>
        <v>11051.711818181817</v>
      </c>
      <c r="O12" s="163">
        <f>imp_fat*Resultados!O11</f>
        <v>11527.461818181819</v>
      </c>
      <c r="P12" s="163">
        <f>imp_fat*Resultados!P11</f>
        <v>12003.211818181815</v>
      </c>
      <c r="Q12" s="163">
        <f>imp_fat*Resultados!Q11</f>
        <v>12478.961818181815</v>
      </c>
      <c r="R12" s="163">
        <f>imp_fat*Resultados!R11</f>
        <v>12954.711818181815</v>
      </c>
      <c r="S12" s="163">
        <f>imp_fat*Resultados!S11</f>
        <v>13430.461818181815</v>
      </c>
      <c r="T12" s="163">
        <f>imp_fat*Resultados!T11</f>
        <v>13906.211818181815</v>
      </c>
      <c r="U12" s="163">
        <f>imp_fat*Resultados!U11</f>
        <v>14381.961818181815</v>
      </c>
      <c r="V12" s="163">
        <f>imp_fat*Resultados!V11</f>
        <v>14857.711818181815</v>
      </c>
      <c r="W12" s="163">
        <f>imp_fat*Resultados!W11</f>
        <v>15333.461818181815</v>
      </c>
      <c r="X12" s="163">
        <f>imp_fat*Resultados!X11</f>
        <v>15809.211818181815</v>
      </c>
      <c r="Y12" s="163">
        <f>imp_fat*Resultados!Y11</f>
        <v>16284.961818181815</v>
      </c>
      <c r="Z12" s="163">
        <f>imp_fat*Resultados!Z11</f>
        <v>18818.913787878784</v>
      </c>
      <c r="AA12" s="163">
        <f>imp_fat*Resultados!AA11</f>
        <v>19270.876287878786</v>
      </c>
      <c r="AB12" s="163">
        <f>imp_fat*Resultados!AB11</f>
        <v>19722.838787878787</v>
      </c>
      <c r="AC12" s="163">
        <f>imp_fat*Resultados!AC11</f>
        <v>20174.801287878785</v>
      </c>
      <c r="AD12" s="163">
        <f>imp_fat*Resultados!AD11</f>
        <v>20626.763787878786</v>
      </c>
      <c r="AE12" s="163">
        <f>imp_fat*Resultados!AE11</f>
        <v>21078.726287878784</v>
      </c>
      <c r="AF12" s="163">
        <f>imp_fat*Resultados!AF11</f>
        <v>21530.688787878786</v>
      </c>
      <c r="AG12" s="163">
        <f>imp_fat*Resultados!AG11</f>
        <v>21982.651287878787</v>
      </c>
      <c r="AH12" s="163">
        <f>imp_fat*Resultados!AH11</f>
        <v>22434.613787878785</v>
      </c>
      <c r="AI12" s="163">
        <f>imp_fat*Resultados!AI11</f>
        <v>22886.576287878786</v>
      </c>
      <c r="AJ12" s="163">
        <f>imp_fat*Resultados!AJ11</f>
        <v>23338.538787878784</v>
      </c>
      <c r="AK12" s="163">
        <f>imp_fat*Resultados!AK11</f>
        <v>23790.501287878786</v>
      </c>
      <c r="AL12" s="163">
        <f>imp_fat*Resultados!AL11</f>
        <v>28600.220420454541</v>
      </c>
      <c r="AM12" s="163">
        <f>imp_fat*Resultados!AM11</f>
        <v>29052.182920454543</v>
      </c>
      <c r="AN12" s="163">
        <f>imp_fat*Resultados!AN11</f>
        <v>29504.145420454541</v>
      </c>
      <c r="AO12" s="163">
        <f>imp_fat*Resultados!AO11</f>
        <v>29956.107920454542</v>
      </c>
      <c r="AP12" s="163">
        <f>imp_fat*Resultados!AP11</f>
        <v>30408.070420454544</v>
      </c>
      <c r="AQ12" s="163">
        <f>imp_fat*Resultados!AQ11</f>
        <v>30860.032920454541</v>
      </c>
      <c r="AR12" s="163">
        <f>imp_fat*Resultados!AR11</f>
        <v>31311.995420454543</v>
      </c>
      <c r="AS12" s="163">
        <f>imp_fat*Resultados!AS11</f>
        <v>31763.957920454541</v>
      </c>
      <c r="AT12" s="163">
        <f>imp_fat*Resultados!AT11</f>
        <v>32215.920420454542</v>
      </c>
      <c r="AU12" s="163">
        <f>imp_fat*Resultados!AU11</f>
        <v>32667.882920454544</v>
      </c>
      <c r="AV12" s="163">
        <f>imp_fat*Resultados!AV11</f>
        <v>33119.845420454541</v>
      </c>
      <c r="AW12" s="163">
        <f>imp_fat*Resultados!AW11</f>
        <v>33571.807920454543</v>
      </c>
      <c r="AX12" s="163">
        <f>imp_fat*Resultados!AX11</f>
        <v>41575.744433522719</v>
      </c>
      <c r="AY12" s="163">
        <f>imp_fat*Resultados!AY11</f>
        <v>42027.706933522721</v>
      </c>
      <c r="AZ12" s="163">
        <f>imp_fat*Resultados!AZ11</f>
        <v>42479.669433522722</v>
      </c>
      <c r="BA12" s="163">
        <f>imp_fat*Resultados!BA11</f>
        <v>42931.631933522724</v>
      </c>
      <c r="BB12" s="163">
        <f>imp_fat*Resultados!BB11</f>
        <v>43383.594433522718</v>
      </c>
      <c r="BC12" s="163">
        <f>imp_fat*Resultados!BC11</f>
        <v>43835.556933522719</v>
      </c>
      <c r="BD12" s="163">
        <f>imp_fat*Resultados!BD11</f>
        <v>44287.519433522721</v>
      </c>
      <c r="BE12" s="163">
        <f>imp_fat*Resultados!BE11</f>
        <v>44739.481933522722</v>
      </c>
      <c r="BF12" s="163">
        <f>imp_fat*Resultados!BF11</f>
        <v>45191.444433522724</v>
      </c>
      <c r="BG12" s="163">
        <f>imp_fat*Resultados!BG11</f>
        <v>45643.406933522725</v>
      </c>
      <c r="BH12" s="163">
        <f>imp_fat*Resultados!BH11</f>
        <v>46095.369433522726</v>
      </c>
      <c r="BI12" s="163">
        <f>imp_fat*Resultados!BI11</f>
        <v>46547.331933522728</v>
      </c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</row>
    <row r="13" spans="1:131" s="80" customFormat="1" ht="15.75">
      <c r="A13" s="150" t="s">
        <v>193</v>
      </c>
      <c r="B13" s="164">
        <f>B11-B12</f>
        <v>28196.699999999997</v>
      </c>
      <c r="C13" s="164">
        <f t="shared" ref="C13:E13" si="1">C11-C12</f>
        <v>33220.949999999997</v>
      </c>
      <c r="D13" s="164">
        <f t="shared" si="1"/>
        <v>38245.199999999997</v>
      </c>
      <c r="E13" s="164">
        <f t="shared" si="1"/>
        <v>43269.45</v>
      </c>
      <c r="F13" s="164">
        <f t="shared" ref="F13" si="2">F11-F12</f>
        <v>48293.7</v>
      </c>
      <c r="G13" s="164">
        <f t="shared" ref="G13:H13" si="3">G11-G12</f>
        <v>53317.95</v>
      </c>
      <c r="H13" s="164">
        <f t="shared" si="3"/>
        <v>58342.2</v>
      </c>
      <c r="I13" s="164">
        <f t="shared" ref="I13" si="4">I11-I12</f>
        <v>63366.44999999999</v>
      </c>
      <c r="J13" s="164">
        <f t="shared" ref="J13:K13" si="5">J11-J12</f>
        <v>68390.7</v>
      </c>
      <c r="K13" s="164">
        <f t="shared" si="5"/>
        <v>73414.950000000012</v>
      </c>
      <c r="L13" s="164">
        <f t="shared" ref="L13" si="6">L11-L12</f>
        <v>78439.200000000012</v>
      </c>
      <c r="M13" s="164">
        <f t="shared" ref="M13:N13" si="7">M11-M12</f>
        <v>83463.450000000012</v>
      </c>
      <c r="N13" s="164">
        <f t="shared" si="7"/>
        <v>116713.74272727272</v>
      </c>
      <c r="O13" s="164">
        <f t="shared" ref="O13" si="8">O11-O12</f>
        <v>121737.99272727274</v>
      </c>
      <c r="P13" s="164">
        <f t="shared" ref="P13:Q13" si="9">P11-P12</f>
        <v>126762.24272727271</v>
      </c>
      <c r="Q13" s="164">
        <f t="shared" si="9"/>
        <v>131786.49272727271</v>
      </c>
      <c r="R13" s="164">
        <f t="shared" ref="R13" si="10">R11-R12</f>
        <v>136810.74272727271</v>
      </c>
      <c r="S13" s="164">
        <f t="shared" ref="S13:T13" si="11">S11-S12</f>
        <v>141834.99272727271</v>
      </c>
      <c r="T13" s="164">
        <f t="shared" si="11"/>
        <v>146859.24272727271</v>
      </c>
      <c r="U13" s="164">
        <f t="shared" ref="U13" si="12">U11-U12</f>
        <v>151883.49272727271</v>
      </c>
      <c r="V13" s="164">
        <f t="shared" ref="V13:W13" si="13">V11-V12</f>
        <v>156907.74272727271</v>
      </c>
      <c r="W13" s="164">
        <f t="shared" si="13"/>
        <v>161931.99272727271</v>
      </c>
      <c r="X13" s="164">
        <f t="shared" ref="X13" si="14">X11-X12</f>
        <v>166956.24272727271</v>
      </c>
      <c r="Y13" s="164">
        <f t="shared" ref="Y13:Z13" si="15">Y11-Y12</f>
        <v>171980.49272727271</v>
      </c>
      <c r="Z13" s="164">
        <f t="shared" si="15"/>
        <v>198740.78318181817</v>
      </c>
      <c r="AA13" s="164">
        <f t="shared" ref="AA13" si="16">AA11-AA12</f>
        <v>203513.82068181818</v>
      </c>
      <c r="AB13" s="164">
        <f t="shared" ref="AB13:AC13" si="17">AB11-AB12</f>
        <v>208286.85818181818</v>
      </c>
      <c r="AC13" s="164">
        <f t="shared" si="17"/>
        <v>213059.89568181819</v>
      </c>
      <c r="AD13" s="164">
        <f t="shared" ref="AD13" si="18">AD11-AD12</f>
        <v>217832.93318181817</v>
      </c>
      <c r="AE13" s="164">
        <f t="shared" ref="AE13:AF13" si="19">AE11-AE12</f>
        <v>222605.97068181817</v>
      </c>
      <c r="AF13" s="164">
        <f t="shared" si="19"/>
        <v>227379.00818181818</v>
      </c>
      <c r="AG13" s="164">
        <f t="shared" ref="AG13" si="20">AG11-AG12</f>
        <v>232152.04568181818</v>
      </c>
      <c r="AH13" s="164">
        <f t="shared" ref="AH13:AI13" si="21">AH11-AH12</f>
        <v>236925.08318181819</v>
      </c>
      <c r="AI13" s="164">
        <f t="shared" si="21"/>
        <v>241698.12068181817</v>
      </c>
      <c r="AJ13" s="164">
        <f t="shared" ref="AJ13" si="22">AJ11-AJ12</f>
        <v>246471.15818181817</v>
      </c>
      <c r="AK13" s="164">
        <f t="shared" ref="AK13:AL13" si="23">AK11-AK12</f>
        <v>251244.19568181818</v>
      </c>
      <c r="AL13" s="164">
        <f t="shared" si="23"/>
        <v>302038.16594318184</v>
      </c>
      <c r="AM13" s="164">
        <f t="shared" ref="AM13" si="24">AM11-AM12</f>
        <v>306811.20344318182</v>
      </c>
      <c r="AN13" s="164">
        <f t="shared" ref="AN13:AO13" si="25">AN11-AN12</f>
        <v>311584.24094318179</v>
      </c>
      <c r="AO13" s="164">
        <f t="shared" si="25"/>
        <v>316357.27844318183</v>
      </c>
      <c r="AP13" s="164">
        <f t="shared" ref="AP13" si="26">AP11-AP12</f>
        <v>321130.31594318181</v>
      </c>
      <c r="AQ13" s="164">
        <f t="shared" ref="AQ13:AR13" si="27">AQ11-AQ12</f>
        <v>325903.35344318184</v>
      </c>
      <c r="AR13" s="164">
        <f t="shared" si="27"/>
        <v>330676.39094318182</v>
      </c>
      <c r="AS13" s="164">
        <f t="shared" ref="AS13" si="28">AS11-AS12</f>
        <v>335449.42844318179</v>
      </c>
      <c r="AT13" s="164">
        <f t="shared" ref="AT13:AU13" si="29">AT11-AT12</f>
        <v>340222.46594318183</v>
      </c>
      <c r="AU13" s="164">
        <f t="shared" si="29"/>
        <v>344995.50344318181</v>
      </c>
      <c r="AV13" s="164">
        <f t="shared" ref="AV13" si="30">AV11-AV12</f>
        <v>349768.54094318184</v>
      </c>
      <c r="AW13" s="164">
        <f t="shared" ref="AW13:AX13" si="31">AW11-AW12</f>
        <v>354541.57844318182</v>
      </c>
      <c r="AX13" s="164">
        <f t="shared" si="31"/>
        <v>439068.69988465903</v>
      </c>
      <c r="AY13" s="164">
        <f t="shared" ref="AY13" si="32">AY11-AY12</f>
        <v>443841.73738465906</v>
      </c>
      <c r="AZ13" s="164">
        <f t="shared" ref="AZ13:BA13" si="33">AZ11-AZ12</f>
        <v>448614.77488465904</v>
      </c>
      <c r="BA13" s="164">
        <f t="shared" si="33"/>
        <v>453387.81238465908</v>
      </c>
      <c r="BB13" s="164">
        <f t="shared" ref="BB13" si="34">BB11-BB12</f>
        <v>458160.84988465905</v>
      </c>
      <c r="BC13" s="164">
        <f t="shared" ref="BC13:BD13" si="35">BC11-BC12</f>
        <v>462933.88738465903</v>
      </c>
      <c r="BD13" s="164">
        <f t="shared" si="35"/>
        <v>467706.92488465906</v>
      </c>
      <c r="BE13" s="164">
        <f t="shared" ref="BE13" si="36">BE11-BE12</f>
        <v>472479.96238465904</v>
      </c>
      <c r="BF13" s="164">
        <f t="shared" ref="BF13:BG13" si="37">BF11-BF12</f>
        <v>477252.99988465908</v>
      </c>
      <c r="BG13" s="164">
        <f t="shared" si="37"/>
        <v>482026.03738465911</v>
      </c>
      <c r="BH13" s="164">
        <f t="shared" ref="BH13" si="38">BH11-BH12</f>
        <v>486799.07488465909</v>
      </c>
      <c r="BI13" s="164">
        <f t="shared" ref="BI13" si="39">BI11-BI12</f>
        <v>491572.11238465912</v>
      </c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</row>
    <row r="14" spans="1:131" ht="15.75">
      <c r="A14" s="152" t="s">
        <v>26</v>
      </c>
      <c r="B14" s="165">
        <f>Custos!B10</f>
        <v>62500</v>
      </c>
      <c r="C14" s="165">
        <f>Custos!C10</f>
        <v>62500</v>
      </c>
      <c r="D14" s="165">
        <f>Custos!D10</f>
        <v>62500</v>
      </c>
      <c r="E14" s="165">
        <f>Custos!E10</f>
        <v>62500</v>
      </c>
      <c r="F14" s="165">
        <f>Custos!F10</f>
        <v>62500</v>
      </c>
      <c r="G14" s="165">
        <f>Custos!G10</f>
        <v>62500</v>
      </c>
      <c r="H14" s="165">
        <f>Custos!H10</f>
        <v>34500</v>
      </c>
      <c r="I14" s="165">
        <f>Custos!I10</f>
        <v>34500</v>
      </c>
      <c r="J14" s="165">
        <f>Custos!J10</f>
        <v>34500</v>
      </c>
      <c r="K14" s="165">
        <f>Custos!K10</f>
        <v>34500</v>
      </c>
      <c r="L14" s="165">
        <f>Custos!L10</f>
        <v>34500</v>
      </c>
      <c r="M14" s="165">
        <f>Custos!M10</f>
        <v>34500</v>
      </c>
      <c r="N14" s="165">
        <f>Custos!N10</f>
        <v>35000</v>
      </c>
      <c r="O14" s="165">
        <f>Custos!O10</f>
        <v>35000</v>
      </c>
      <c r="P14" s="165">
        <f>Custos!P10</f>
        <v>35000</v>
      </c>
      <c r="Q14" s="165">
        <f>Custos!Q10</f>
        <v>35000</v>
      </c>
      <c r="R14" s="165">
        <f>Custos!R10</f>
        <v>35000</v>
      </c>
      <c r="S14" s="165">
        <f>Custos!S10</f>
        <v>35000</v>
      </c>
      <c r="T14" s="165">
        <f>Custos!T10</f>
        <v>35000</v>
      </c>
      <c r="U14" s="165">
        <f>Custos!U10</f>
        <v>35000</v>
      </c>
      <c r="V14" s="165">
        <f>Custos!V10</f>
        <v>35000</v>
      </c>
      <c r="W14" s="165">
        <f>Custos!W10</f>
        <v>35000</v>
      </c>
      <c r="X14" s="165">
        <f>Custos!X10</f>
        <v>35000</v>
      </c>
      <c r="Y14" s="165">
        <f>Custos!Y10</f>
        <v>35000</v>
      </c>
      <c r="Z14" s="165">
        <f>Custos!Z10</f>
        <v>36000</v>
      </c>
      <c r="AA14" s="165">
        <f>Custos!AA10</f>
        <v>36000</v>
      </c>
      <c r="AB14" s="165">
        <f>Custos!AB10</f>
        <v>36000</v>
      </c>
      <c r="AC14" s="165">
        <f>Custos!AC10</f>
        <v>36000</v>
      </c>
      <c r="AD14" s="165">
        <f>Custos!AD10</f>
        <v>36000</v>
      </c>
      <c r="AE14" s="165">
        <f>Custos!AE10</f>
        <v>36000</v>
      </c>
      <c r="AF14" s="165">
        <f>Custos!AF10</f>
        <v>36000</v>
      </c>
      <c r="AG14" s="165">
        <f>Custos!AG10</f>
        <v>36000</v>
      </c>
      <c r="AH14" s="165">
        <f>Custos!AH10</f>
        <v>36000</v>
      </c>
      <c r="AI14" s="165">
        <f>Custos!AI10</f>
        <v>36000</v>
      </c>
      <c r="AJ14" s="165">
        <f>Custos!AJ10</f>
        <v>36000</v>
      </c>
      <c r="AK14" s="165">
        <f>Custos!AK10</f>
        <v>36000</v>
      </c>
      <c r="AL14" s="165">
        <f>Custos!AL10</f>
        <v>49500</v>
      </c>
      <c r="AM14" s="165">
        <f>Custos!AM10</f>
        <v>49500</v>
      </c>
      <c r="AN14" s="165">
        <f>Custos!AN10</f>
        <v>49500</v>
      </c>
      <c r="AO14" s="165">
        <f>Custos!AO10</f>
        <v>49500</v>
      </c>
      <c r="AP14" s="165">
        <f>Custos!AP10</f>
        <v>49500</v>
      </c>
      <c r="AQ14" s="165">
        <f>Custos!AQ10</f>
        <v>49500</v>
      </c>
      <c r="AR14" s="165">
        <f>Custos!AR10</f>
        <v>49500</v>
      </c>
      <c r="AS14" s="165">
        <f>Custos!AS10</f>
        <v>49500</v>
      </c>
      <c r="AT14" s="165">
        <f>Custos!AT10</f>
        <v>49500</v>
      </c>
      <c r="AU14" s="165">
        <f>Custos!AU10</f>
        <v>49500</v>
      </c>
      <c r="AV14" s="165">
        <f>Custos!AV10</f>
        <v>49500</v>
      </c>
      <c r="AW14" s="165">
        <f>Custos!AW10</f>
        <v>49500</v>
      </c>
      <c r="AX14" s="165">
        <f>Custos!AX10</f>
        <v>37000</v>
      </c>
      <c r="AY14" s="165">
        <f>Custos!AY10</f>
        <v>37000</v>
      </c>
      <c r="AZ14" s="165">
        <f>Custos!AZ10</f>
        <v>37000</v>
      </c>
      <c r="BA14" s="165">
        <f>Custos!BA10</f>
        <v>37000</v>
      </c>
      <c r="BB14" s="165">
        <f>Custos!BB10</f>
        <v>37000</v>
      </c>
      <c r="BC14" s="165">
        <f>Custos!BC10</f>
        <v>37000</v>
      </c>
      <c r="BD14" s="165">
        <f>Custos!BD10</f>
        <v>37000</v>
      </c>
      <c r="BE14" s="165">
        <f>Custos!BE10</f>
        <v>37000</v>
      </c>
      <c r="BF14" s="165">
        <f>Custos!BF10</f>
        <v>37000</v>
      </c>
      <c r="BG14" s="165">
        <f>Custos!BG10</f>
        <v>37000</v>
      </c>
      <c r="BH14" s="165">
        <f>Custos!BH10</f>
        <v>37000</v>
      </c>
      <c r="BI14" s="165">
        <f>Custos!BI10</f>
        <v>37000</v>
      </c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</row>
    <row r="15" spans="1:131" ht="15.75">
      <c r="A15" s="153" t="s">
        <v>51</v>
      </c>
      <c r="B15" s="165">
        <f>Investimentos_infra!B7</f>
        <v>21000</v>
      </c>
      <c r="C15" s="165">
        <f>Investimentos_infra!C7</f>
        <v>21000</v>
      </c>
      <c r="D15" s="165">
        <f>Investimentos_infra!D7</f>
        <v>21000</v>
      </c>
      <c r="E15" s="165">
        <f>Investimentos_infra!E7</f>
        <v>21000</v>
      </c>
      <c r="F15" s="165">
        <f>Investimentos_infra!F7</f>
        <v>0</v>
      </c>
      <c r="G15" s="165">
        <f>Investimentos_infra!G7</f>
        <v>0</v>
      </c>
      <c r="H15" s="165">
        <f>Investimentos_infra!H7</f>
        <v>0</v>
      </c>
      <c r="I15" s="165">
        <f>Investimentos_infra!I7</f>
        <v>0</v>
      </c>
      <c r="J15" s="165">
        <f>Investimentos_infra!J7</f>
        <v>0</v>
      </c>
      <c r="K15" s="165">
        <f>Investimentos_infra!K7</f>
        <v>0</v>
      </c>
      <c r="L15" s="165">
        <f>Investimentos_infra!L7</f>
        <v>0</v>
      </c>
      <c r="M15" s="165">
        <f>Investimentos_infra!M7</f>
        <v>0</v>
      </c>
      <c r="N15" s="165">
        <f>Investimentos_infra!N7</f>
        <v>21000</v>
      </c>
      <c r="O15" s="165">
        <f>Investimentos_infra!O7</f>
        <v>0</v>
      </c>
      <c r="P15" s="165">
        <f>Investimentos_infra!P7</f>
        <v>0</v>
      </c>
      <c r="Q15" s="165">
        <f>Investimentos_infra!Q7</f>
        <v>0</v>
      </c>
      <c r="R15" s="165">
        <f>Investimentos_infra!R7</f>
        <v>0</v>
      </c>
      <c r="S15" s="165">
        <f>Investimentos_infra!S7</f>
        <v>0</v>
      </c>
      <c r="T15" s="165">
        <f>Investimentos_infra!T7</f>
        <v>0</v>
      </c>
      <c r="U15" s="165">
        <f>Investimentos_infra!U7</f>
        <v>0</v>
      </c>
      <c r="V15" s="165">
        <f>Investimentos_infra!V7</f>
        <v>0</v>
      </c>
      <c r="W15" s="165">
        <f>Investimentos_infra!W7</f>
        <v>0</v>
      </c>
      <c r="X15" s="165">
        <f>Investimentos_infra!X7</f>
        <v>0</v>
      </c>
      <c r="Y15" s="165">
        <f>Investimentos_infra!Y7</f>
        <v>0</v>
      </c>
      <c r="Z15" s="165">
        <f>Investimentos_infra!Z7</f>
        <v>21000</v>
      </c>
      <c r="AA15" s="165">
        <f>Investimentos_infra!AA7</f>
        <v>21000</v>
      </c>
      <c r="AB15" s="165">
        <f>Investimentos_infra!AB7</f>
        <v>0</v>
      </c>
      <c r="AC15" s="165">
        <f>Investimentos_infra!AC7</f>
        <v>0</v>
      </c>
      <c r="AD15" s="165">
        <f>Investimentos_infra!AD7</f>
        <v>0</v>
      </c>
      <c r="AE15" s="165">
        <f>Investimentos_infra!AE7</f>
        <v>0</v>
      </c>
      <c r="AF15" s="165">
        <f>Investimentos_infra!AF7</f>
        <v>0</v>
      </c>
      <c r="AG15" s="165">
        <f>Investimentos_infra!AG7</f>
        <v>0</v>
      </c>
      <c r="AH15" s="165">
        <f>Investimentos_infra!AH7</f>
        <v>0</v>
      </c>
      <c r="AI15" s="165">
        <f>Investimentos_infra!AI7</f>
        <v>0</v>
      </c>
      <c r="AJ15" s="165">
        <f>Investimentos_infra!AJ7</f>
        <v>0</v>
      </c>
      <c r="AK15" s="165">
        <f>Investimentos_infra!AK7</f>
        <v>0</v>
      </c>
      <c r="AL15" s="165">
        <f>Investimentos_infra!AL7</f>
        <v>21000</v>
      </c>
      <c r="AM15" s="165">
        <f>Investimentos_infra!AM7</f>
        <v>0</v>
      </c>
      <c r="AN15" s="165">
        <f>Investimentos_infra!AN7</f>
        <v>0</v>
      </c>
      <c r="AO15" s="165">
        <f>Investimentos_infra!AO7</f>
        <v>0</v>
      </c>
      <c r="AP15" s="165">
        <f>Investimentos_infra!AP7</f>
        <v>0</v>
      </c>
      <c r="AQ15" s="165">
        <f>Investimentos_infra!AQ7</f>
        <v>0</v>
      </c>
      <c r="AR15" s="165">
        <f>Investimentos_infra!AR7</f>
        <v>0</v>
      </c>
      <c r="AS15" s="165">
        <f>Investimentos_infra!AS7</f>
        <v>0</v>
      </c>
      <c r="AT15" s="165">
        <f>Investimentos_infra!AT7</f>
        <v>0</v>
      </c>
      <c r="AU15" s="165">
        <f>Investimentos_infra!AU7</f>
        <v>0</v>
      </c>
      <c r="AV15" s="165">
        <f>Investimentos_infra!AV7</f>
        <v>0</v>
      </c>
      <c r="AW15" s="165">
        <f>Investimentos_infra!AW7</f>
        <v>0</v>
      </c>
      <c r="AX15" s="165">
        <f>Investimentos_infra!AX7</f>
        <v>21000</v>
      </c>
      <c r="AY15" s="165">
        <f>Investimentos_infra!AY7</f>
        <v>0</v>
      </c>
      <c r="AZ15" s="165">
        <f>Investimentos_infra!AZ7</f>
        <v>0</v>
      </c>
      <c r="BA15" s="165">
        <f>Investimentos_infra!BA7</f>
        <v>0</v>
      </c>
      <c r="BB15" s="165">
        <f>Investimentos_infra!BB7</f>
        <v>0</v>
      </c>
      <c r="BC15" s="165">
        <f>Investimentos_infra!BC7</f>
        <v>0</v>
      </c>
      <c r="BD15" s="165">
        <f>Investimentos_infra!BD7</f>
        <v>0</v>
      </c>
      <c r="BE15" s="165">
        <f>Investimentos_infra!BE7</f>
        <v>0</v>
      </c>
      <c r="BF15" s="165">
        <f>Investimentos_infra!BF7</f>
        <v>0</v>
      </c>
      <c r="BG15" s="165">
        <f>Investimentos_infra!BG7</f>
        <v>0</v>
      </c>
      <c r="BH15" s="165">
        <f>Investimentos_infra!BH7</f>
        <v>0</v>
      </c>
      <c r="BI15" s="165">
        <f>Investimentos_infra!BI7</f>
        <v>0</v>
      </c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</row>
    <row r="16" spans="1:131" ht="15.75">
      <c r="A16" s="153" t="s">
        <v>27</v>
      </c>
      <c r="B16" s="165">
        <f>Despesas!B17</f>
        <v>13340</v>
      </c>
      <c r="C16" s="165">
        <f>Despesas!C17</f>
        <v>13340</v>
      </c>
      <c r="D16" s="165">
        <f>Despesas!D17</f>
        <v>13340</v>
      </c>
      <c r="E16" s="165">
        <f>Despesas!E17</f>
        <v>13340</v>
      </c>
      <c r="F16" s="165">
        <f>Despesas!F17</f>
        <v>10340</v>
      </c>
      <c r="G16" s="165">
        <f>Despesas!G17</f>
        <v>10340</v>
      </c>
      <c r="H16" s="165">
        <f>Despesas!H17</f>
        <v>10340</v>
      </c>
      <c r="I16" s="165">
        <f>Despesas!I17</f>
        <v>10340</v>
      </c>
      <c r="J16" s="165">
        <f>Despesas!J17</f>
        <v>10340</v>
      </c>
      <c r="K16" s="165">
        <f>Despesas!K17</f>
        <v>10340</v>
      </c>
      <c r="L16" s="165">
        <f>Despesas!L17</f>
        <v>10340</v>
      </c>
      <c r="M16" s="165">
        <f>Despesas!M17</f>
        <v>10340</v>
      </c>
      <c r="N16" s="165">
        <f>Despesas!N17</f>
        <v>12840</v>
      </c>
      <c r="O16" s="165">
        <f>Despesas!O17</f>
        <v>12840</v>
      </c>
      <c r="P16" s="165">
        <f>Despesas!P17</f>
        <v>12840</v>
      </c>
      <c r="Q16" s="165">
        <f>Despesas!Q17</f>
        <v>12840</v>
      </c>
      <c r="R16" s="165">
        <f>Despesas!R17</f>
        <v>11340</v>
      </c>
      <c r="S16" s="165">
        <f>Despesas!S17</f>
        <v>11340</v>
      </c>
      <c r="T16" s="165">
        <f>Despesas!T17</f>
        <v>11340</v>
      </c>
      <c r="U16" s="165">
        <f>Despesas!U17</f>
        <v>11340</v>
      </c>
      <c r="V16" s="165">
        <f>Despesas!V17</f>
        <v>11340</v>
      </c>
      <c r="W16" s="165">
        <f>Despesas!W17</f>
        <v>11340</v>
      </c>
      <c r="X16" s="165">
        <f>Despesas!X17</f>
        <v>11340</v>
      </c>
      <c r="Y16" s="165">
        <f>Despesas!Y17</f>
        <v>11340</v>
      </c>
      <c r="Z16" s="165">
        <f>Despesas!Z17</f>
        <v>15340</v>
      </c>
      <c r="AA16" s="165">
        <f>Despesas!AA17</f>
        <v>15340</v>
      </c>
      <c r="AB16" s="165">
        <f>Despesas!AB17</f>
        <v>15340</v>
      </c>
      <c r="AC16" s="165">
        <f>Despesas!AC17</f>
        <v>15340</v>
      </c>
      <c r="AD16" s="165">
        <f>Despesas!AD17</f>
        <v>13840</v>
      </c>
      <c r="AE16" s="165">
        <f>Despesas!AE17</f>
        <v>13840</v>
      </c>
      <c r="AF16" s="165">
        <f>Despesas!AF17</f>
        <v>13840</v>
      </c>
      <c r="AG16" s="165">
        <f>Despesas!AG17</f>
        <v>13840</v>
      </c>
      <c r="AH16" s="165">
        <f>Despesas!AH17</f>
        <v>13840</v>
      </c>
      <c r="AI16" s="165">
        <f>Despesas!AI17</f>
        <v>13840</v>
      </c>
      <c r="AJ16" s="165">
        <f>Despesas!AJ17</f>
        <v>13840</v>
      </c>
      <c r="AK16" s="165">
        <f>Despesas!AK17</f>
        <v>13840</v>
      </c>
      <c r="AL16" s="165">
        <f>Despesas!AL17</f>
        <v>15640</v>
      </c>
      <c r="AM16" s="165">
        <f>Despesas!AM17</f>
        <v>15640</v>
      </c>
      <c r="AN16" s="165">
        <f>Despesas!AN17</f>
        <v>15640</v>
      </c>
      <c r="AO16" s="165">
        <f>Despesas!AO17</f>
        <v>15640</v>
      </c>
      <c r="AP16" s="165">
        <f>Despesas!AP17</f>
        <v>14140</v>
      </c>
      <c r="AQ16" s="165">
        <f>Despesas!AQ17</f>
        <v>14140</v>
      </c>
      <c r="AR16" s="165">
        <f>Despesas!AR17</f>
        <v>14140</v>
      </c>
      <c r="AS16" s="165">
        <f>Despesas!AS17</f>
        <v>14140</v>
      </c>
      <c r="AT16" s="165">
        <f>Despesas!AT17</f>
        <v>14140</v>
      </c>
      <c r="AU16" s="165">
        <f>Despesas!AU17</f>
        <v>14140</v>
      </c>
      <c r="AV16" s="165">
        <f>Despesas!AV17</f>
        <v>14140</v>
      </c>
      <c r="AW16" s="165">
        <f>Despesas!AW17</f>
        <v>14140</v>
      </c>
      <c r="AX16" s="165">
        <f>Despesas!AX17</f>
        <v>18340</v>
      </c>
      <c r="AY16" s="165">
        <f>Despesas!AY17</f>
        <v>18340</v>
      </c>
      <c r="AZ16" s="165">
        <f>Despesas!AZ17</f>
        <v>18340</v>
      </c>
      <c r="BA16" s="165">
        <f>Despesas!BA17</f>
        <v>18340</v>
      </c>
      <c r="BB16" s="165">
        <f>Despesas!BB17</f>
        <v>16840</v>
      </c>
      <c r="BC16" s="165">
        <f>Despesas!BC17</f>
        <v>16840</v>
      </c>
      <c r="BD16" s="165">
        <f>Despesas!BD17</f>
        <v>16840</v>
      </c>
      <c r="BE16" s="165">
        <f>Despesas!BE17</f>
        <v>16840</v>
      </c>
      <c r="BF16" s="165">
        <f>Despesas!BF17</f>
        <v>16840</v>
      </c>
      <c r="BG16" s="165">
        <f>Despesas!BG17</f>
        <v>16840</v>
      </c>
      <c r="BH16" s="165">
        <f>Despesas!BH17</f>
        <v>16840</v>
      </c>
      <c r="BI16" s="165">
        <f>Despesas!BI17</f>
        <v>16840</v>
      </c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</row>
    <row r="17" spans="1:131" ht="15.75">
      <c r="A17" s="153" t="s">
        <v>87</v>
      </c>
      <c r="B17" s="165">
        <f>Funcionários!B60</f>
        <v>79200</v>
      </c>
      <c r="C17" s="165">
        <f>Funcionários!C60</f>
        <v>79200</v>
      </c>
      <c r="D17" s="165">
        <f>Funcionários!D60</f>
        <v>79200</v>
      </c>
      <c r="E17" s="165">
        <f>Funcionários!E60</f>
        <v>79200</v>
      </c>
      <c r="F17" s="165">
        <f>Funcionários!F60</f>
        <v>79200</v>
      </c>
      <c r="G17" s="165">
        <f>Funcionários!G60</f>
        <v>79200</v>
      </c>
      <c r="H17" s="165">
        <f>Funcionários!H60</f>
        <v>79200</v>
      </c>
      <c r="I17" s="165">
        <f>Funcionários!I60</f>
        <v>79200</v>
      </c>
      <c r="J17" s="165">
        <f>Funcionários!J60</f>
        <v>79200</v>
      </c>
      <c r="K17" s="165">
        <f>Funcionários!K60</f>
        <v>79200</v>
      </c>
      <c r="L17" s="165">
        <f>Funcionários!L60</f>
        <v>79200</v>
      </c>
      <c r="M17" s="165">
        <f>Funcionários!M60</f>
        <v>79200</v>
      </c>
      <c r="N17" s="165">
        <f>Funcionários!N60</f>
        <v>82200</v>
      </c>
      <c r="O17" s="165">
        <f>Funcionários!O60</f>
        <v>82200</v>
      </c>
      <c r="P17" s="165">
        <f>Funcionários!P60</f>
        <v>82200</v>
      </c>
      <c r="Q17" s="165">
        <f>Funcionários!Q60</f>
        <v>82200</v>
      </c>
      <c r="R17" s="165">
        <f>Funcionários!R60</f>
        <v>82200</v>
      </c>
      <c r="S17" s="165">
        <f>Funcionários!S60</f>
        <v>82200</v>
      </c>
      <c r="T17" s="165">
        <f>Funcionários!T60</f>
        <v>82200</v>
      </c>
      <c r="U17" s="165">
        <f>Funcionários!U60</f>
        <v>82200</v>
      </c>
      <c r="V17" s="165">
        <f>Funcionários!V60</f>
        <v>82200</v>
      </c>
      <c r="W17" s="165">
        <f>Funcionários!W60</f>
        <v>82200</v>
      </c>
      <c r="X17" s="165">
        <f>Funcionários!X60</f>
        <v>82200</v>
      </c>
      <c r="Y17" s="165">
        <f>Funcionários!Y60</f>
        <v>82200</v>
      </c>
      <c r="Z17" s="165">
        <f>Funcionários!Z60</f>
        <v>112330</v>
      </c>
      <c r="AA17" s="165">
        <f>Funcionários!AA60</f>
        <v>112330</v>
      </c>
      <c r="AB17" s="165">
        <f>Funcionários!AB60</f>
        <v>112330</v>
      </c>
      <c r="AC17" s="165">
        <f>Funcionários!AC60</f>
        <v>112330</v>
      </c>
      <c r="AD17" s="165">
        <f>Funcionários!AD60</f>
        <v>112330</v>
      </c>
      <c r="AE17" s="165">
        <f>Funcionários!AE60</f>
        <v>112330</v>
      </c>
      <c r="AF17" s="165">
        <f>Funcionários!AF60</f>
        <v>112330</v>
      </c>
      <c r="AG17" s="165">
        <f>Funcionários!AG60</f>
        <v>112330</v>
      </c>
      <c r="AH17" s="165">
        <f>Funcionários!AH60</f>
        <v>112330</v>
      </c>
      <c r="AI17" s="165">
        <f>Funcionários!AI60</f>
        <v>112330</v>
      </c>
      <c r="AJ17" s="165">
        <f>Funcionários!AJ60</f>
        <v>112330</v>
      </c>
      <c r="AK17" s="165">
        <f>Funcionários!AK60</f>
        <v>112330</v>
      </c>
      <c r="AL17" s="165">
        <f>Funcionários!AL60</f>
        <v>138469.50000000003</v>
      </c>
      <c r="AM17" s="165">
        <f>Funcionários!AM60</f>
        <v>138469.50000000003</v>
      </c>
      <c r="AN17" s="165">
        <f>Funcionários!AN60</f>
        <v>138469.50000000003</v>
      </c>
      <c r="AO17" s="165">
        <f>Funcionários!AO60</f>
        <v>138469.50000000003</v>
      </c>
      <c r="AP17" s="165">
        <f>Funcionários!AP60</f>
        <v>138469.50000000003</v>
      </c>
      <c r="AQ17" s="165">
        <f>Funcionários!AQ60</f>
        <v>138469.50000000003</v>
      </c>
      <c r="AR17" s="165">
        <f>Funcionários!AR60</f>
        <v>138469.50000000003</v>
      </c>
      <c r="AS17" s="165">
        <f>Funcionários!AS60</f>
        <v>138469.50000000003</v>
      </c>
      <c r="AT17" s="165">
        <f>Funcionários!AT60</f>
        <v>138469.50000000003</v>
      </c>
      <c r="AU17" s="165">
        <f>Funcionários!AU60</f>
        <v>138469.50000000003</v>
      </c>
      <c r="AV17" s="165">
        <f>Funcionários!AV60</f>
        <v>138469.50000000003</v>
      </c>
      <c r="AW17" s="165">
        <f>Funcionários!AW60</f>
        <v>138469.50000000003</v>
      </c>
      <c r="AX17" s="165">
        <f>Funcionários!AX60</f>
        <v>176806.15000000005</v>
      </c>
      <c r="AY17" s="165">
        <f>Funcionários!AY60</f>
        <v>176806.15000000005</v>
      </c>
      <c r="AZ17" s="165">
        <f>Funcionários!AZ60</f>
        <v>176806.15000000005</v>
      </c>
      <c r="BA17" s="165">
        <f>Funcionários!BA60</f>
        <v>176806.15000000005</v>
      </c>
      <c r="BB17" s="165">
        <f>Funcionários!BB60</f>
        <v>176806.15000000005</v>
      </c>
      <c r="BC17" s="165">
        <f>Funcionários!BC60</f>
        <v>176806.15000000005</v>
      </c>
      <c r="BD17" s="165">
        <f>Funcionários!BD60</f>
        <v>176806.15000000005</v>
      </c>
      <c r="BE17" s="165">
        <f>Funcionários!BE60</f>
        <v>176806.15000000005</v>
      </c>
      <c r="BF17" s="165">
        <f>Funcionários!BF60</f>
        <v>176806.15000000005</v>
      </c>
      <c r="BG17" s="165">
        <f>Funcionários!BG60</f>
        <v>176806.15000000005</v>
      </c>
      <c r="BH17" s="165">
        <f>Funcionários!BH60</f>
        <v>176806.15000000005</v>
      </c>
      <c r="BI17" s="165">
        <f>Funcionários!BI60</f>
        <v>176806.15000000005</v>
      </c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</row>
    <row r="18" spans="1:131" s="80" customFormat="1" ht="15.75">
      <c r="A18" s="150" t="s">
        <v>94</v>
      </c>
      <c r="B18" s="164">
        <f>B13-SUM(B14:B17)</f>
        <v>-147843.29999999999</v>
      </c>
      <c r="C18" s="164">
        <f t="shared" ref="C18:BI18" si="40">C13-SUM(C14:C17)</f>
        <v>-142819.04999999999</v>
      </c>
      <c r="D18" s="164">
        <f t="shared" si="40"/>
        <v>-137794.79999999999</v>
      </c>
      <c r="E18" s="164">
        <f t="shared" si="40"/>
        <v>-132770.54999999999</v>
      </c>
      <c r="F18" s="164">
        <f t="shared" si="40"/>
        <v>-103746.3</v>
      </c>
      <c r="G18" s="164">
        <f t="shared" si="40"/>
        <v>-98722.05</v>
      </c>
      <c r="H18" s="164">
        <f t="shared" si="40"/>
        <v>-65697.8</v>
      </c>
      <c r="I18" s="164">
        <f t="shared" si="40"/>
        <v>-60673.55000000001</v>
      </c>
      <c r="J18" s="164">
        <f t="shared" si="40"/>
        <v>-55649.3</v>
      </c>
      <c r="K18" s="164">
        <f t="shared" si="40"/>
        <v>-50625.049999999988</v>
      </c>
      <c r="L18" s="164">
        <f t="shared" si="40"/>
        <v>-45600.799999999988</v>
      </c>
      <c r="M18" s="164">
        <f t="shared" si="40"/>
        <v>-40576.549999999988</v>
      </c>
      <c r="N18" s="164">
        <f t="shared" si="40"/>
        <v>-34326.257272727278</v>
      </c>
      <c r="O18" s="164">
        <f t="shared" si="40"/>
        <v>-8302.0072727272636</v>
      </c>
      <c r="P18" s="164">
        <f t="shared" si="40"/>
        <v>-3277.7572727272927</v>
      </c>
      <c r="Q18" s="164">
        <f t="shared" si="40"/>
        <v>1746.4927272727073</v>
      </c>
      <c r="R18" s="164">
        <f t="shared" si="40"/>
        <v>8270.7427272727073</v>
      </c>
      <c r="S18" s="164">
        <f t="shared" si="40"/>
        <v>13294.992727272707</v>
      </c>
      <c r="T18" s="164">
        <f t="shared" si="40"/>
        <v>18319.242727272707</v>
      </c>
      <c r="U18" s="164">
        <f t="shared" si="40"/>
        <v>23343.492727272707</v>
      </c>
      <c r="V18" s="164">
        <f t="shared" si="40"/>
        <v>28367.742727272707</v>
      </c>
      <c r="W18" s="164">
        <f t="shared" si="40"/>
        <v>33391.992727272707</v>
      </c>
      <c r="X18" s="164">
        <f t="shared" si="40"/>
        <v>38416.242727272707</v>
      </c>
      <c r="Y18" s="164">
        <f t="shared" si="40"/>
        <v>43440.492727272707</v>
      </c>
      <c r="Z18" s="164">
        <f t="shared" si="40"/>
        <v>14070.783181818173</v>
      </c>
      <c r="AA18" s="164">
        <f t="shared" si="40"/>
        <v>18843.820681818179</v>
      </c>
      <c r="AB18" s="164">
        <f t="shared" si="40"/>
        <v>44616.858181818185</v>
      </c>
      <c r="AC18" s="164">
        <f t="shared" si="40"/>
        <v>49389.89568181819</v>
      </c>
      <c r="AD18" s="164">
        <f t="shared" si="40"/>
        <v>55662.933181818167</v>
      </c>
      <c r="AE18" s="164">
        <f t="shared" si="40"/>
        <v>60435.970681818173</v>
      </c>
      <c r="AF18" s="164">
        <f t="shared" si="40"/>
        <v>65209.008181818179</v>
      </c>
      <c r="AG18" s="164">
        <f t="shared" si="40"/>
        <v>69982.045681818185</v>
      </c>
      <c r="AH18" s="164">
        <f t="shared" si="40"/>
        <v>74755.08318181819</v>
      </c>
      <c r="AI18" s="164">
        <f t="shared" si="40"/>
        <v>79528.120681818167</v>
      </c>
      <c r="AJ18" s="164">
        <f t="shared" si="40"/>
        <v>84301.158181818173</v>
      </c>
      <c r="AK18" s="164">
        <f t="shared" si="40"/>
        <v>89074.195681818179</v>
      </c>
      <c r="AL18" s="164">
        <f t="shared" si="40"/>
        <v>77428.665943181812</v>
      </c>
      <c r="AM18" s="164">
        <f t="shared" si="40"/>
        <v>103201.70344318179</v>
      </c>
      <c r="AN18" s="164">
        <f t="shared" si="40"/>
        <v>107974.74094318177</v>
      </c>
      <c r="AO18" s="164">
        <f t="shared" si="40"/>
        <v>112747.7784431818</v>
      </c>
      <c r="AP18" s="164">
        <f t="shared" si="40"/>
        <v>119020.81594318178</v>
      </c>
      <c r="AQ18" s="164">
        <f t="shared" si="40"/>
        <v>123793.85344318181</v>
      </c>
      <c r="AR18" s="164">
        <f t="shared" si="40"/>
        <v>128566.89094318179</v>
      </c>
      <c r="AS18" s="164">
        <f t="shared" si="40"/>
        <v>133339.92844318177</v>
      </c>
      <c r="AT18" s="164">
        <f t="shared" si="40"/>
        <v>138112.9659431818</v>
      </c>
      <c r="AU18" s="164">
        <f t="shared" si="40"/>
        <v>142886.00344318178</v>
      </c>
      <c r="AV18" s="164">
        <f t="shared" si="40"/>
        <v>147659.04094318181</v>
      </c>
      <c r="AW18" s="164">
        <f t="shared" si="40"/>
        <v>152432.07844318179</v>
      </c>
      <c r="AX18" s="164">
        <f t="shared" si="40"/>
        <v>185922.54988465898</v>
      </c>
      <c r="AY18" s="164">
        <f t="shared" si="40"/>
        <v>211695.58738465901</v>
      </c>
      <c r="AZ18" s="164">
        <f t="shared" si="40"/>
        <v>216468.62488465899</v>
      </c>
      <c r="BA18" s="164">
        <f t="shared" si="40"/>
        <v>221241.66238465902</v>
      </c>
      <c r="BB18" s="164">
        <f t="shared" si="40"/>
        <v>227514.699884659</v>
      </c>
      <c r="BC18" s="164">
        <f t="shared" si="40"/>
        <v>232287.73738465898</v>
      </c>
      <c r="BD18" s="164">
        <f t="shared" si="40"/>
        <v>237060.77488465901</v>
      </c>
      <c r="BE18" s="164">
        <f t="shared" si="40"/>
        <v>241833.81238465899</v>
      </c>
      <c r="BF18" s="164">
        <f t="shared" si="40"/>
        <v>246606.84988465902</v>
      </c>
      <c r="BG18" s="164">
        <f t="shared" si="40"/>
        <v>251379.88738465906</v>
      </c>
      <c r="BH18" s="164">
        <f t="shared" si="40"/>
        <v>256152.92488465903</v>
      </c>
      <c r="BI18" s="164">
        <f t="shared" si="40"/>
        <v>260925.96238465907</v>
      </c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</row>
    <row r="19" spans="1:131" ht="15.75">
      <c r="A19" s="153" t="s">
        <v>22</v>
      </c>
      <c r="B19" s="165">
        <f>-IF(B18&lt;0,0,0.25*B18)</f>
        <v>0</v>
      </c>
      <c r="C19" s="165">
        <f t="shared" ref="C19:BI19" si="41">-IF(C18&lt;0,0,0.25*C18)</f>
        <v>0</v>
      </c>
      <c r="D19" s="165">
        <f t="shared" si="41"/>
        <v>0</v>
      </c>
      <c r="E19" s="165">
        <f t="shared" si="41"/>
        <v>0</v>
      </c>
      <c r="F19" s="165">
        <f t="shared" si="41"/>
        <v>0</v>
      </c>
      <c r="G19" s="165">
        <f t="shared" si="41"/>
        <v>0</v>
      </c>
      <c r="H19" s="165">
        <f t="shared" si="41"/>
        <v>0</v>
      </c>
      <c r="I19" s="165">
        <f t="shared" si="41"/>
        <v>0</v>
      </c>
      <c r="J19" s="165">
        <f t="shared" si="41"/>
        <v>0</v>
      </c>
      <c r="K19" s="165">
        <f t="shared" si="41"/>
        <v>0</v>
      </c>
      <c r="L19" s="165">
        <f t="shared" si="41"/>
        <v>0</v>
      </c>
      <c r="M19" s="165">
        <f t="shared" si="41"/>
        <v>0</v>
      </c>
      <c r="N19" s="165">
        <f t="shared" si="41"/>
        <v>0</v>
      </c>
      <c r="O19" s="165">
        <f t="shared" si="41"/>
        <v>0</v>
      </c>
      <c r="P19" s="165">
        <f t="shared" si="41"/>
        <v>0</v>
      </c>
      <c r="Q19" s="165">
        <f t="shared" si="41"/>
        <v>-436.62318181817682</v>
      </c>
      <c r="R19" s="165">
        <f t="shared" si="41"/>
        <v>-2067.6856818181768</v>
      </c>
      <c r="S19" s="165">
        <f t="shared" si="41"/>
        <v>-3323.7481818181768</v>
      </c>
      <c r="T19" s="165">
        <f t="shared" si="41"/>
        <v>-4579.8106818181768</v>
      </c>
      <c r="U19" s="165">
        <f t="shared" si="41"/>
        <v>-5835.8731818181768</v>
      </c>
      <c r="V19" s="165">
        <f t="shared" si="41"/>
        <v>-7091.9356818181768</v>
      </c>
      <c r="W19" s="165">
        <f t="shared" si="41"/>
        <v>-8347.9981818181768</v>
      </c>
      <c r="X19" s="165">
        <f t="shared" si="41"/>
        <v>-9604.0606818181768</v>
      </c>
      <c r="Y19" s="165">
        <f t="shared" si="41"/>
        <v>-10860.123181818177</v>
      </c>
      <c r="Z19" s="165">
        <f t="shared" si="41"/>
        <v>-3517.6957954545433</v>
      </c>
      <c r="AA19" s="165">
        <f t="shared" si="41"/>
        <v>-4710.9551704545447</v>
      </c>
      <c r="AB19" s="165">
        <f t="shared" si="41"/>
        <v>-11154.214545454546</v>
      </c>
      <c r="AC19" s="165">
        <f t="shared" si="41"/>
        <v>-12347.473920454548</v>
      </c>
      <c r="AD19" s="165">
        <f t="shared" si="41"/>
        <v>-13915.733295454542</v>
      </c>
      <c r="AE19" s="165">
        <f t="shared" si="41"/>
        <v>-15108.992670454543</v>
      </c>
      <c r="AF19" s="165">
        <f t="shared" si="41"/>
        <v>-16302.252045454545</v>
      </c>
      <c r="AG19" s="165">
        <f t="shared" si="41"/>
        <v>-17495.511420454546</v>
      </c>
      <c r="AH19" s="165">
        <f t="shared" si="41"/>
        <v>-18688.770795454548</v>
      </c>
      <c r="AI19" s="165">
        <f t="shared" si="41"/>
        <v>-19882.030170454542</v>
      </c>
      <c r="AJ19" s="165">
        <f t="shared" si="41"/>
        <v>-21075.289545454543</v>
      </c>
      <c r="AK19" s="165">
        <f t="shared" si="41"/>
        <v>-22268.548920454545</v>
      </c>
      <c r="AL19" s="165">
        <f t="shared" si="41"/>
        <v>-19357.166485795453</v>
      </c>
      <c r="AM19" s="165">
        <f t="shared" si="41"/>
        <v>-25800.425860795447</v>
      </c>
      <c r="AN19" s="165">
        <f t="shared" si="41"/>
        <v>-26993.685235795441</v>
      </c>
      <c r="AO19" s="165">
        <f t="shared" si="41"/>
        <v>-28186.94461079545</v>
      </c>
      <c r="AP19" s="165">
        <f t="shared" si="41"/>
        <v>-29755.203985795444</v>
      </c>
      <c r="AQ19" s="165">
        <f t="shared" si="41"/>
        <v>-30948.463360795453</v>
      </c>
      <c r="AR19" s="165">
        <f t="shared" si="41"/>
        <v>-32141.722735795447</v>
      </c>
      <c r="AS19" s="165">
        <f t="shared" si="41"/>
        <v>-33334.982110795441</v>
      </c>
      <c r="AT19" s="165">
        <f t="shared" si="41"/>
        <v>-34528.24148579545</v>
      </c>
      <c r="AU19" s="165">
        <f t="shared" si="41"/>
        <v>-35721.500860795444</v>
      </c>
      <c r="AV19" s="165">
        <f t="shared" si="41"/>
        <v>-36914.760235795453</v>
      </c>
      <c r="AW19" s="165">
        <f t="shared" si="41"/>
        <v>-38108.019610795447</v>
      </c>
      <c r="AX19" s="165">
        <f t="shared" si="41"/>
        <v>-46480.637471164744</v>
      </c>
      <c r="AY19" s="165">
        <f t="shared" si="41"/>
        <v>-52923.896846164753</v>
      </c>
      <c r="AZ19" s="165">
        <f t="shared" si="41"/>
        <v>-54117.156221164747</v>
      </c>
      <c r="BA19" s="165">
        <f t="shared" si="41"/>
        <v>-55310.415596164756</v>
      </c>
      <c r="BB19" s="165">
        <f t="shared" si="41"/>
        <v>-56878.67497116475</v>
      </c>
      <c r="BC19" s="165">
        <f t="shared" si="41"/>
        <v>-58071.934346164744</v>
      </c>
      <c r="BD19" s="165">
        <f t="shared" si="41"/>
        <v>-59265.193721164753</v>
      </c>
      <c r="BE19" s="165">
        <f t="shared" si="41"/>
        <v>-60458.453096164747</v>
      </c>
      <c r="BF19" s="165">
        <f t="shared" si="41"/>
        <v>-61651.712471164756</v>
      </c>
      <c r="BG19" s="165">
        <f t="shared" si="41"/>
        <v>-62844.971846164764</v>
      </c>
      <c r="BH19" s="165">
        <f t="shared" si="41"/>
        <v>-64038.231221164759</v>
      </c>
      <c r="BI19" s="165">
        <f t="shared" si="41"/>
        <v>-65231.490596164767</v>
      </c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</row>
    <row r="20" spans="1:131" ht="15.75">
      <c r="A20" s="153" t="s">
        <v>85</v>
      </c>
      <c r="B20" s="165">
        <f>-IF(B18&lt;0,0,B18*0.09)</f>
        <v>0</v>
      </c>
      <c r="C20" s="165">
        <f t="shared" ref="C20:BI20" si="42">-IF(C18&lt;0,0,C18*0.09)</f>
        <v>0</v>
      </c>
      <c r="D20" s="165">
        <f t="shared" si="42"/>
        <v>0</v>
      </c>
      <c r="E20" s="165">
        <f t="shared" si="42"/>
        <v>0</v>
      </c>
      <c r="F20" s="165">
        <f t="shared" si="42"/>
        <v>0</v>
      </c>
      <c r="G20" s="165">
        <f t="shared" si="42"/>
        <v>0</v>
      </c>
      <c r="H20" s="165">
        <f t="shared" si="42"/>
        <v>0</v>
      </c>
      <c r="I20" s="165">
        <f t="shared" si="42"/>
        <v>0</v>
      </c>
      <c r="J20" s="165">
        <f t="shared" si="42"/>
        <v>0</v>
      </c>
      <c r="K20" s="165">
        <f t="shared" si="42"/>
        <v>0</v>
      </c>
      <c r="L20" s="165">
        <f t="shared" si="42"/>
        <v>0</v>
      </c>
      <c r="M20" s="165">
        <f t="shared" si="42"/>
        <v>0</v>
      </c>
      <c r="N20" s="165">
        <f t="shared" si="42"/>
        <v>0</v>
      </c>
      <c r="O20" s="165">
        <f t="shared" si="42"/>
        <v>0</v>
      </c>
      <c r="P20" s="165">
        <f t="shared" si="42"/>
        <v>0</v>
      </c>
      <c r="Q20" s="165">
        <f t="shared" si="42"/>
        <v>-157.18434545454366</v>
      </c>
      <c r="R20" s="165">
        <f t="shared" si="42"/>
        <v>-744.36684545454364</v>
      </c>
      <c r="S20" s="165">
        <f t="shared" si="42"/>
        <v>-1196.5493454545435</v>
      </c>
      <c r="T20" s="165">
        <f t="shared" si="42"/>
        <v>-1648.7318454545436</v>
      </c>
      <c r="U20" s="165">
        <f t="shared" si="42"/>
        <v>-2100.9143454545438</v>
      </c>
      <c r="V20" s="165">
        <f t="shared" si="42"/>
        <v>-2553.0968454545437</v>
      </c>
      <c r="W20" s="165">
        <f t="shared" si="42"/>
        <v>-3005.2793454545435</v>
      </c>
      <c r="X20" s="165">
        <f t="shared" si="42"/>
        <v>-3457.4618454545434</v>
      </c>
      <c r="Y20" s="165">
        <f t="shared" si="42"/>
        <v>-3909.6443454545433</v>
      </c>
      <c r="Z20" s="165">
        <f t="shared" si="42"/>
        <v>-1266.3704863636356</v>
      </c>
      <c r="AA20" s="165">
        <f t="shared" si="42"/>
        <v>-1695.943861363636</v>
      </c>
      <c r="AB20" s="165">
        <f t="shared" si="42"/>
        <v>-4015.5172363636366</v>
      </c>
      <c r="AC20" s="165">
        <f t="shared" si="42"/>
        <v>-4445.0906113636365</v>
      </c>
      <c r="AD20" s="165">
        <f t="shared" si="42"/>
        <v>-5009.6639863636346</v>
      </c>
      <c r="AE20" s="165">
        <f t="shared" si="42"/>
        <v>-5439.2373613636355</v>
      </c>
      <c r="AF20" s="165">
        <f t="shared" si="42"/>
        <v>-5868.8107363636354</v>
      </c>
      <c r="AG20" s="165">
        <f t="shared" si="42"/>
        <v>-6298.3841113636363</v>
      </c>
      <c r="AH20" s="165">
        <f t="shared" si="42"/>
        <v>-6727.9574863636371</v>
      </c>
      <c r="AI20" s="165">
        <f t="shared" si="42"/>
        <v>-7157.5308613636344</v>
      </c>
      <c r="AJ20" s="165">
        <f t="shared" si="42"/>
        <v>-7587.1042363636352</v>
      </c>
      <c r="AK20" s="165">
        <f t="shared" si="42"/>
        <v>-8016.6776113636361</v>
      </c>
      <c r="AL20" s="165">
        <f t="shared" si="42"/>
        <v>-6968.5799348863629</v>
      </c>
      <c r="AM20" s="165">
        <f t="shared" si="42"/>
        <v>-9288.1533098863601</v>
      </c>
      <c r="AN20" s="165">
        <f t="shared" si="42"/>
        <v>-9717.7266848863583</v>
      </c>
      <c r="AO20" s="165">
        <f t="shared" si="42"/>
        <v>-10147.300059886362</v>
      </c>
      <c r="AP20" s="165">
        <f t="shared" si="42"/>
        <v>-10711.87343488636</v>
      </c>
      <c r="AQ20" s="165">
        <f t="shared" si="42"/>
        <v>-11141.446809886362</v>
      </c>
      <c r="AR20" s="165">
        <f t="shared" si="42"/>
        <v>-11571.02018488636</v>
      </c>
      <c r="AS20" s="165">
        <f t="shared" si="42"/>
        <v>-12000.593559886358</v>
      </c>
      <c r="AT20" s="165">
        <f t="shared" si="42"/>
        <v>-12430.166934886362</v>
      </c>
      <c r="AU20" s="165">
        <f t="shared" si="42"/>
        <v>-12859.74030988636</v>
      </c>
      <c r="AV20" s="165">
        <f t="shared" si="42"/>
        <v>-13289.313684886363</v>
      </c>
      <c r="AW20" s="165">
        <f t="shared" si="42"/>
        <v>-13718.88705988636</v>
      </c>
      <c r="AX20" s="165">
        <f t="shared" si="42"/>
        <v>-16733.029489619308</v>
      </c>
      <c r="AY20" s="165">
        <f t="shared" si="42"/>
        <v>-19052.602864619312</v>
      </c>
      <c r="AZ20" s="165">
        <f t="shared" si="42"/>
        <v>-19482.176239619308</v>
      </c>
      <c r="BA20" s="165">
        <f t="shared" si="42"/>
        <v>-19911.749614619312</v>
      </c>
      <c r="BB20" s="165">
        <f t="shared" si="42"/>
        <v>-20476.322989619308</v>
      </c>
      <c r="BC20" s="165">
        <f t="shared" si="42"/>
        <v>-20905.896364619308</v>
      </c>
      <c r="BD20" s="165">
        <f t="shared" si="42"/>
        <v>-21335.469739619311</v>
      </c>
      <c r="BE20" s="165">
        <f t="shared" si="42"/>
        <v>-21765.043114619308</v>
      </c>
      <c r="BF20" s="165">
        <f t="shared" si="42"/>
        <v>-22194.616489619311</v>
      </c>
      <c r="BG20" s="165">
        <f t="shared" si="42"/>
        <v>-22624.189864619315</v>
      </c>
      <c r="BH20" s="165">
        <f t="shared" si="42"/>
        <v>-23053.763239619311</v>
      </c>
      <c r="BI20" s="165">
        <f t="shared" si="42"/>
        <v>-23483.336614619315</v>
      </c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</row>
    <row r="21" spans="1:131" s="156" customFormat="1" ht="15.75">
      <c r="A21" s="150" t="s">
        <v>95</v>
      </c>
      <c r="B21" s="157">
        <f>B18+B19+B20</f>
        <v>-147843.29999999999</v>
      </c>
      <c r="C21" s="157">
        <f t="shared" ref="C21:BI21" si="43">C18+C19+C20</f>
        <v>-142819.04999999999</v>
      </c>
      <c r="D21" s="157">
        <f t="shared" si="43"/>
        <v>-137794.79999999999</v>
      </c>
      <c r="E21" s="157">
        <f t="shared" si="43"/>
        <v>-132770.54999999999</v>
      </c>
      <c r="F21" s="157">
        <f t="shared" si="43"/>
        <v>-103746.3</v>
      </c>
      <c r="G21" s="157">
        <f t="shared" si="43"/>
        <v>-98722.05</v>
      </c>
      <c r="H21" s="157">
        <f t="shared" si="43"/>
        <v>-65697.8</v>
      </c>
      <c r="I21" s="157">
        <f t="shared" si="43"/>
        <v>-60673.55000000001</v>
      </c>
      <c r="J21" s="157">
        <f t="shared" si="43"/>
        <v>-55649.3</v>
      </c>
      <c r="K21" s="157">
        <f t="shared" si="43"/>
        <v>-50625.049999999988</v>
      </c>
      <c r="L21" s="157">
        <f t="shared" si="43"/>
        <v>-45600.799999999988</v>
      </c>
      <c r="M21" s="157">
        <f t="shared" si="43"/>
        <v>-40576.549999999988</v>
      </c>
      <c r="N21" s="157">
        <f t="shared" si="43"/>
        <v>-34326.257272727278</v>
      </c>
      <c r="O21" s="157">
        <f t="shared" si="43"/>
        <v>-8302.0072727272636</v>
      </c>
      <c r="P21" s="157">
        <f t="shared" si="43"/>
        <v>-3277.7572727272927</v>
      </c>
      <c r="Q21" s="157">
        <f t="shared" si="43"/>
        <v>1152.6851999999867</v>
      </c>
      <c r="R21" s="157">
        <f t="shared" si="43"/>
        <v>5458.6901999999864</v>
      </c>
      <c r="S21" s="157">
        <f t="shared" si="43"/>
        <v>8774.6951999999874</v>
      </c>
      <c r="T21" s="157">
        <f t="shared" si="43"/>
        <v>12090.700199999987</v>
      </c>
      <c r="U21" s="157">
        <f t="shared" si="43"/>
        <v>15406.705199999986</v>
      </c>
      <c r="V21" s="157">
        <f t="shared" si="43"/>
        <v>18722.710199999987</v>
      </c>
      <c r="W21" s="157">
        <f t="shared" si="43"/>
        <v>22038.715199999988</v>
      </c>
      <c r="X21" s="157">
        <f t="shared" si="43"/>
        <v>25354.720199999989</v>
      </c>
      <c r="Y21" s="157">
        <f t="shared" si="43"/>
        <v>28670.725199999986</v>
      </c>
      <c r="Z21" s="157">
        <f t="shared" si="43"/>
        <v>9286.716899999994</v>
      </c>
      <c r="AA21" s="157">
        <f t="shared" si="43"/>
        <v>12436.921649999998</v>
      </c>
      <c r="AB21" s="157">
        <f t="shared" si="43"/>
        <v>29447.126400000001</v>
      </c>
      <c r="AC21" s="157">
        <f t="shared" si="43"/>
        <v>32597.331150000005</v>
      </c>
      <c r="AD21" s="157">
        <f t="shared" si="43"/>
        <v>36737.535899999988</v>
      </c>
      <c r="AE21" s="157">
        <f t="shared" si="43"/>
        <v>39887.740649999992</v>
      </c>
      <c r="AF21" s="157">
        <f t="shared" si="43"/>
        <v>43037.945399999997</v>
      </c>
      <c r="AG21" s="157">
        <f t="shared" si="43"/>
        <v>46188.150150000001</v>
      </c>
      <c r="AH21" s="157">
        <f t="shared" si="43"/>
        <v>49338.354900000006</v>
      </c>
      <c r="AI21" s="157">
        <f t="shared" si="43"/>
        <v>52488.559649999988</v>
      </c>
      <c r="AJ21" s="157">
        <f t="shared" si="43"/>
        <v>55638.764399999993</v>
      </c>
      <c r="AK21" s="157">
        <f t="shared" si="43"/>
        <v>58788.969149999997</v>
      </c>
      <c r="AL21" s="157">
        <f t="shared" si="43"/>
        <v>51102.919522499993</v>
      </c>
      <c r="AM21" s="157">
        <f t="shared" si="43"/>
        <v>68113.124272499976</v>
      </c>
      <c r="AN21" s="157">
        <f t="shared" si="43"/>
        <v>71263.329022499966</v>
      </c>
      <c r="AO21" s="157">
        <f t="shared" si="43"/>
        <v>74413.533772499999</v>
      </c>
      <c r="AP21" s="157">
        <f t="shared" si="43"/>
        <v>78553.738522499974</v>
      </c>
      <c r="AQ21" s="157">
        <f t="shared" si="43"/>
        <v>81703.943272499993</v>
      </c>
      <c r="AR21" s="157">
        <f t="shared" si="43"/>
        <v>84854.148022499969</v>
      </c>
      <c r="AS21" s="157">
        <f t="shared" si="43"/>
        <v>88004.352772499959</v>
      </c>
      <c r="AT21" s="157">
        <f t="shared" si="43"/>
        <v>91154.557522499992</v>
      </c>
      <c r="AU21" s="157">
        <f t="shared" si="43"/>
        <v>94304.762272499982</v>
      </c>
      <c r="AV21" s="157">
        <f t="shared" si="43"/>
        <v>97454.967022499986</v>
      </c>
      <c r="AW21" s="157">
        <f t="shared" si="43"/>
        <v>100605.17177249998</v>
      </c>
      <c r="AX21" s="157">
        <f t="shared" si="43"/>
        <v>122708.88292387492</v>
      </c>
      <c r="AY21" s="157">
        <f t="shared" si="43"/>
        <v>139719.08767387495</v>
      </c>
      <c r="AZ21" s="157">
        <f t="shared" si="43"/>
        <v>142869.29242387495</v>
      </c>
      <c r="BA21" s="157">
        <f t="shared" si="43"/>
        <v>146019.49717387496</v>
      </c>
      <c r="BB21" s="157">
        <f t="shared" si="43"/>
        <v>150159.70192387493</v>
      </c>
      <c r="BC21" s="157">
        <f t="shared" si="43"/>
        <v>153309.90667387491</v>
      </c>
      <c r="BD21" s="157">
        <f t="shared" si="43"/>
        <v>156460.11142387494</v>
      </c>
      <c r="BE21" s="157">
        <f t="shared" si="43"/>
        <v>159610.31617387495</v>
      </c>
      <c r="BF21" s="157">
        <f t="shared" si="43"/>
        <v>162760.52092387495</v>
      </c>
      <c r="BG21" s="157">
        <f t="shared" si="43"/>
        <v>165910.72567387499</v>
      </c>
      <c r="BH21" s="157">
        <f t="shared" si="43"/>
        <v>169060.93042387496</v>
      </c>
      <c r="BI21" s="157">
        <f t="shared" si="43"/>
        <v>172211.13517387497</v>
      </c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</row>
    <row r="22" spans="1:131">
      <c r="A22" s="166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</row>
    <row r="23" spans="1:131" s="79" customFormat="1" ht="15.75">
      <c r="A23" s="177" t="s">
        <v>98</v>
      </c>
      <c r="B23" s="159">
        <f>B21</f>
        <v>-147843.29999999999</v>
      </c>
      <c r="C23" s="159">
        <f>B23+C21</f>
        <v>-290662.34999999998</v>
      </c>
      <c r="D23" s="159">
        <f>C23+D21</f>
        <v>-428457.14999999997</v>
      </c>
      <c r="E23" s="159">
        <f t="shared" ref="E23:BI23" si="44">D23+E21</f>
        <v>-561227.69999999995</v>
      </c>
      <c r="F23" s="159">
        <f t="shared" si="44"/>
        <v>-664974</v>
      </c>
      <c r="G23" s="159">
        <f t="shared" si="44"/>
        <v>-763696.05</v>
      </c>
      <c r="H23" s="159">
        <f t="shared" si="44"/>
        <v>-829393.85000000009</v>
      </c>
      <c r="I23" s="159">
        <f t="shared" si="44"/>
        <v>-890067.40000000014</v>
      </c>
      <c r="J23" s="159">
        <f t="shared" si="44"/>
        <v>-945716.70000000019</v>
      </c>
      <c r="K23" s="159">
        <f t="shared" si="44"/>
        <v>-996341.75000000023</v>
      </c>
      <c r="L23" s="159">
        <f t="shared" si="44"/>
        <v>-1041942.5500000003</v>
      </c>
      <c r="M23" s="159">
        <f t="shared" si="44"/>
        <v>-1082519.1000000003</v>
      </c>
      <c r="N23" s="159">
        <f t="shared" si="44"/>
        <v>-1116845.3572727276</v>
      </c>
      <c r="O23" s="159">
        <f t="shared" si="44"/>
        <v>-1125147.364545455</v>
      </c>
      <c r="P23" s="159">
        <f t="shared" si="44"/>
        <v>-1128425.1218181823</v>
      </c>
      <c r="Q23" s="159">
        <f t="shared" si="44"/>
        <v>-1127272.4366181823</v>
      </c>
      <c r="R23" s="159">
        <f t="shared" si="44"/>
        <v>-1121813.7464181823</v>
      </c>
      <c r="S23" s="159">
        <f t="shared" si="44"/>
        <v>-1113039.0512181823</v>
      </c>
      <c r="T23" s="159">
        <f t="shared" si="44"/>
        <v>-1100948.3510181822</v>
      </c>
      <c r="U23" s="159">
        <f t="shared" si="44"/>
        <v>-1085541.6458181823</v>
      </c>
      <c r="V23" s="159">
        <f t="shared" si="44"/>
        <v>-1066818.9356181822</v>
      </c>
      <c r="W23" s="159">
        <f t="shared" si="44"/>
        <v>-1044780.2204181822</v>
      </c>
      <c r="X23" s="159">
        <f t="shared" si="44"/>
        <v>-1019425.5002181822</v>
      </c>
      <c r="Y23" s="159">
        <f t="shared" si="44"/>
        <v>-990754.77501818223</v>
      </c>
      <c r="Z23" s="159">
        <f t="shared" si="44"/>
        <v>-981468.05811818223</v>
      </c>
      <c r="AA23" s="159">
        <f t="shared" si="44"/>
        <v>-969031.1364681822</v>
      </c>
      <c r="AB23" s="159">
        <f t="shared" si="44"/>
        <v>-939584.01006818225</v>
      </c>
      <c r="AC23" s="159">
        <f t="shared" si="44"/>
        <v>-906986.67891818227</v>
      </c>
      <c r="AD23" s="159">
        <f t="shared" si="44"/>
        <v>-870249.14301818225</v>
      </c>
      <c r="AE23" s="159">
        <f t="shared" si="44"/>
        <v>-830361.40236818232</v>
      </c>
      <c r="AF23" s="159">
        <f t="shared" si="44"/>
        <v>-787323.45696818235</v>
      </c>
      <c r="AG23" s="159">
        <f t="shared" si="44"/>
        <v>-741135.30681818235</v>
      </c>
      <c r="AH23" s="159">
        <f t="shared" si="44"/>
        <v>-691796.95191818231</v>
      </c>
      <c r="AI23" s="159">
        <f t="shared" si="44"/>
        <v>-639308.39226818236</v>
      </c>
      <c r="AJ23" s="159">
        <f t="shared" si="44"/>
        <v>-583669.62786818238</v>
      </c>
      <c r="AK23" s="159">
        <f t="shared" si="44"/>
        <v>-524880.65871818236</v>
      </c>
      <c r="AL23" s="159">
        <f t="shared" si="44"/>
        <v>-473777.73919568234</v>
      </c>
      <c r="AM23" s="159">
        <f t="shared" si="44"/>
        <v>-405664.61492318235</v>
      </c>
      <c r="AN23" s="159">
        <f t="shared" si="44"/>
        <v>-334401.28590068239</v>
      </c>
      <c r="AO23" s="159">
        <f t="shared" si="44"/>
        <v>-259987.75212818239</v>
      </c>
      <c r="AP23" s="159">
        <f t="shared" si="44"/>
        <v>-181434.01360568241</v>
      </c>
      <c r="AQ23" s="159">
        <f t="shared" si="44"/>
        <v>-99730.070333182419</v>
      </c>
      <c r="AR23" s="159">
        <f t="shared" si="44"/>
        <v>-14875.92231068245</v>
      </c>
      <c r="AS23" s="159">
        <f t="shared" si="44"/>
        <v>73128.430461817508</v>
      </c>
      <c r="AT23" s="159">
        <f t="shared" si="44"/>
        <v>164282.9879843175</v>
      </c>
      <c r="AU23" s="159">
        <f t="shared" si="44"/>
        <v>258587.7502568175</v>
      </c>
      <c r="AV23" s="159">
        <f t="shared" si="44"/>
        <v>356042.7172793175</v>
      </c>
      <c r="AW23" s="159">
        <f t="shared" si="44"/>
        <v>456647.88905181747</v>
      </c>
      <c r="AX23" s="159">
        <f t="shared" si="44"/>
        <v>579356.77197569236</v>
      </c>
      <c r="AY23" s="159">
        <f t="shared" si="44"/>
        <v>719075.85964956728</v>
      </c>
      <c r="AZ23" s="159">
        <f t="shared" si="44"/>
        <v>861945.15207344224</v>
      </c>
      <c r="BA23" s="159">
        <f t="shared" si="44"/>
        <v>1007964.6492473172</v>
      </c>
      <c r="BB23" s="159">
        <f t="shared" si="44"/>
        <v>1158124.3511711922</v>
      </c>
      <c r="BC23" s="159">
        <f t="shared" si="44"/>
        <v>1311434.2578450672</v>
      </c>
      <c r="BD23" s="159">
        <f t="shared" si="44"/>
        <v>1467894.3692689422</v>
      </c>
      <c r="BE23" s="159">
        <f t="shared" si="44"/>
        <v>1627504.6854428172</v>
      </c>
      <c r="BF23" s="159">
        <f t="shared" si="44"/>
        <v>1790265.2063666922</v>
      </c>
      <c r="BG23" s="159">
        <f t="shared" si="44"/>
        <v>1956175.9320405673</v>
      </c>
      <c r="BH23" s="159">
        <f t="shared" si="44"/>
        <v>2125236.8624644424</v>
      </c>
      <c r="BI23" s="159">
        <f t="shared" si="44"/>
        <v>2297447.9976383173</v>
      </c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</row>
    <row r="24" spans="1:131">
      <c r="A24" s="1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</row>
    <row r="25" spans="1:131" ht="15.75">
      <c r="A25" s="169" t="s">
        <v>194</v>
      </c>
      <c r="B25" s="171" t="s">
        <v>105</v>
      </c>
      <c r="C25" s="171" t="s">
        <v>106</v>
      </c>
      <c r="D25" s="171" t="s">
        <v>107</v>
      </c>
      <c r="E25" s="171" t="s">
        <v>108</v>
      </c>
      <c r="F25" s="171" t="s">
        <v>109</v>
      </c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</row>
    <row r="26" spans="1:131">
      <c r="A26" s="185" t="s">
        <v>152</v>
      </c>
      <c r="B26" s="214">
        <f t="shared" ref="B26:B41" si="45">SUM(B5:M5)</f>
        <v>429000</v>
      </c>
      <c r="C26" s="214">
        <f t="shared" ref="C26:C41" si="46">SUM(N5:Y5)</f>
        <v>1221000</v>
      </c>
      <c r="D26" s="214">
        <f t="shared" ref="D26:D41" si="47">SUM(Z5:AK5)</f>
        <v>1912350</v>
      </c>
      <c r="E26" s="214">
        <f t="shared" ref="E26:E41" si="48">SUM(AL5:AW5)</f>
        <v>2664750</v>
      </c>
      <c r="F26" s="214">
        <f t="shared" ref="F26:F41" si="49">SUM(AX5:BI5)</f>
        <v>3417150</v>
      </c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</row>
    <row r="27" spans="1:131">
      <c r="A27" s="185" t="s">
        <v>150</v>
      </c>
      <c r="B27" s="214">
        <f t="shared" si="45"/>
        <v>6000</v>
      </c>
      <c r="C27" s="214">
        <f t="shared" si="46"/>
        <v>23040</v>
      </c>
      <c r="D27" s="214">
        <f t="shared" si="47"/>
        <v>46080</v>
      </c>
      <c r="E27" s="214">
        <f t="shared" si="48"/>
        <v>74880</v>
      </c>
      <c r="F27" s="214">
        <f t="shared" si="49"/>
        <v>115200</v>
      </c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</row>
    <row r="28" spans="1:131">
      <c r="A28" s="185" t="s">
        <v>151</v>
      </c>
      <c r="B28" s="214">
        <f t="shared" si="45"/>
        <v>128000.00000000001</v>
      </c>
      <c r="C28" s="214">
        <f t="shared" si="46"/>
        <v>282763.63636363629</v>
      </c>
      <c r="D28" s="214">
        <f t="shared" si="47"/>
        <v>491985.45454545465</v>
      </c>
      <c r="E28" s="214">
        <f t="shared" si="48"/>
        <v>817570.90909090883</v>
      </c>
      <c r="F28" s="214">
        <f t="shared" si="49"/>
        <v>1271127.2727272727</v>
      </c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</row>
    <row r="29" spans="1:131">
      <c r="A29" s="185" t="s">
        <v>158</v>
      </c>
      <c r="B29" s="214">
        <f t="shared" si="45"/>
        <v>0</v>
      </c>
      <c r="C29" s="214">
        <f t="shared" si="46"/>
        <v>26400</v>
      </c>
      <c r="D29" s="214">
        <f t="shared" si="47"/>
        <v>37620</v>
      </c>
      <c r="E29" s="214">
        <f t="shared" si="48"/>
        <v>48279</v>
      </c>
      <c r="F29" s="214">
        <f t="shared" si="49"/>
        <v>58405.049999999996</v>
      </c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</row>
    <row r="30" spans="1:131">
      <c r="A30" s="185" t="s">
        <v>149</v>
      </c>
      <c r="B30" s="214">
        <f t="shared" si="45"/>
        <v>143999.99999999997</v>
      </c>
      <c r="C30" s="214">
        <f t="shared" si="46"/>
        <v>290181.81818181812</v>
      </c>
      <c r="D30" s="214">
        <f t="shared" si="47"/>
        <v>392290.90909090894</v>
      </c>
      <c r="E30" s="214">
        <f t="shared" si="48"/>
        <v>610472.72727272741</v>
      </c>
      <c r="F30" s="214">
        <f t="shared" si="49"/>
        <v>1133890.9090909089</v>
      </c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</row>
    <row r="31" spans="1:131">
      <c r="A31" s="185" t="s">
        <v>165</v>
      </c>
      <c r="B31" s="214">
        <f t="shared" si="45"/>
        <v>26400.000000000004</v>
      </c>
      <c r="C31" s="214">
        <f t="shared" si="46"/>
        <v>52800.000000000007</v>
      </c>
      <c r="D31" s="214">
        <f t="shared" si="47"/>
        <v>75240</v>
      </c>
      <c r="E31" s="214">
        <f t="shared" si="48"/>
        <v>96558</v>
      </c>
      <c r="F31" s="214">
        <f t="shared" si="49"/>
        <v>116810.10000000002</v>
      </c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</row>
    <row r="32" spans="1:131" ht="15.75">
      <c r="A32" s="212" t="s">
        <v>191</v>
      </c>
      <c r="B32" s="214">
        <f t="shared" si="45"/>
        <v>733399.99999999988</v>
      </c>
      <c r="C32" s="214">
        <f t="shared" si="46"/>
        <v>1896185.4545454548</v>
      </c>
      <c r="D32" s="214">
        <f t="shared" si="47"/>
        <v>2955566.3636363633</v>
      </c>
      <c r="E32" s="214">
        <f t="shared" si="48"/>
        <v>4312510.6363636358</v>
      </c>
      <c r="F32" s="214">
        <f t="shared" si="49"/>
        <v>6112583.3318181811</v>
      </c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</row>
    <row r="33" spans="1:131" ht="15.75">
      <c r="A33" s="213" t="s">
        <v>192</v>
      </c>
      <c r="B33" s="214">
        <f t="shared" si="45"/>
        <v>63439.1</v>
      </c>
      <c r="C33" s="214">
        <f t="shared" si="46"/>
        <v>164020.04181818184</v>
      </c>
      <c r="D33" s="214">
        <f t="shared" si="47"/>
        <v>255656.49045454545</v>
      </c>
      <c r="E33" s="214">
        <f t="shared" si="48"/>
        <v>373032.17004545452</v>
      </c>
      <c r="F33" s="214">
        <f t="shared" si="49"/>
        <v>528738.45820227265</v>
      </c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</row>
    <row r="34" spans="1:131" ht="15.75">
      <c r="A34" s="212" t="s">
        <v>193</v>
      </c>
      <c r="B34" s="214">
        <f t="shared" si="45"/>
        <v>669960.90000000014</v>
      </c>
      <c r="C34" s="214">
        <f t="shared" si="46"/>
        <v>1732165.4127272724</v>
      </c>
      <c r="D34" s="214">
        <f t="shared" si="47"/>
        <v>2699909.8731818181</v>
      </c>
      <c r="E34" s="214">
        <f t="shared" si="48"/>
        <v>3939478.4663181817</v>
      </c>
      <c r="F34" s="214">
        <f t="shared" si="49"/>
        <v>5583844.8736159084</v>
      </c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</row>
    <row r="35" spans="1:131" ht="15.75">
      <c r="A35" s="213" t="s">
        <v>26</v>
      </c>
      <c r="B35" s="214">
        <f t="shared" si="45"/>
        <v>582000</v>
      </c>
      <c r="C35" s="214">
        <f t="shared" si="46"/>
        <v>420000</v>
      </c>
      <c r="D35" s="214">
        <f t="shared" si="47"/>
        <v>432000</v>
      </c>
      <c r="E35" s="214">
        <f t="shared" si="48"/>
        <v>594000</v>
      </c>
      <c r="F35" s="214">
        <f t="shared" si="49"/>
        <v>444000</v>
      </c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</row>
    <row r="36" spans="1:131" ht="15.75">
      <c r="A36" s="213" t="s">
        <v>51</v>
      </c>
      <c r="B36" s="214">
        <f t="shared" si="45"/>
        <v>84000</v>
      </c>
      <c r="C36" s="214">
        <f t="shared" si="46"/>
        <v>21000</v>
      </c>
      <c r="D36" s="214">
        <f t="shared" si="47"/>
        <v>42000</v>
      </c>
      <c r="E36" s="214">
        <f t="shared" si="48"/>
        <v>21000</v>
      </c>
      <c r="F36" s="214">
        <f t="shared" si="49"/>
        <v>21000</v>
      </c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</row>
    <row r="37" spans="1:131" ht="15.75">
      <c r="A37" s="213" t="s">
        <v>27</v>
      </c>
      <c r="B37" s="214">
        <f t="shared" si="45"/>
        <v>136080</v>
      </c>
      <c r="C37" s="214">
        <f t="shared" si="46"/>
        <v>142080</v>
      </c>
      <c r="D37" s="214">
        <f t="shared" si="47"/>
        <v>172080</v>
      </c>
      <c r="E37" s="214">
        <f t="shared" si="48"/>
        <v>175680</v>
      </c>
      <c r="F37" s="214">
        <f t="shared" si="49"/>
        <v>208080</v>
      </c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</row>
    <row r="38" spans="1:131" ht="15.75">
      <c r="A38" s="213" t="s">
        <v>87</v>
      </c>
      <c r="B38" s="214">
        <f t="shared" si="45"/>
        <v>950400</v>
      </c>
      <c r="C38" s="214">
        <f t="shared" si="46"/>
        <v>986400</v>
      </c>
      <c r="D38" s="214">
        <f t="shared" si="47"/>
        <v>1347960</v>
      </c>
      <c r="E38" s="214">
        <f t="shared" si="48"/>
        <v>1661634.0000000002</v>
      </c>
      <c r="F38" s="214">
        <f t="shared" si="49"/>
        <v>2121673.8000000012</v>
      </c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</row>
    <row r="39" spans="1:131" ht="15.75">
      <c r="A39" s="212" t="s">
        <v>94</v>
      </c>
      <c r="B39" s="214">
        <f t="shared" si="45"/>
        <v>-1082519.1000000003</v>
      </c>
      <c r="C39" s="214">
        <f t="shared" si="46"/>
        <v>162685.41272727255</v>
      </c>
      <c r="D39" s="214">
        <f t="shared" si="47"/>
        <v>705869.87318181817</v>
      </c>
      <c r="E39" s="214">
        <f t="shared" si="48"/>
        <v>1487164.4663181815</v>
      </c>
      <c r="F39" s="214">
        <f t="shared" si="49"/>
        <v>2789091.0736159082</v>
      </c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</row>
    <row r="40" spans="1:131" ht="15.75">
      <c r="A40" s="213" t="s">
        <v>22</v>
      </c>
      <c r="B40" s="214">
        <f t="shared" si="45"/>
        <v>0</v>
      </c>
      <c r="C40" s="214">
        <f t="shared" si="46"/>
        <v>-52147.858636363591</v>
      </c>
      <c r="D40" s="214">
        <f t="shared" si="47"/>
        <v>-176467.46829545454</v>
      </c>
      <c r="E40" s="214">
        <f t="shared" si="48"/>
        <v>-371791.11657954537</v>
      </c>
      <c r="F40" s="214">
        <f t="shared" si="49"/>
        <v>-697272.76840397704</v>
      </c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</row>
    <row r="41" spans="1:131" ht="15.75">
      <c r="A41" s="213" t="s">
        <v>85</v>
      </c>
      <c r="B41" s="214">
        <f t="shared" si="45"/>
        <v>0</v>
      </c>
      <c r="C41" s="214">
        <f t="shared" si="46"/>
        <v>-18773.229109090891</v>
      </c>
      <c r="D41" s="214">
        <f t="shared" si="47"/>
        <v>-63528.28858636364</v>
      </c>
      <c r="E41" s="214">
        <f t="shared" si="48"/>
        <v>-133844.80196863634</v>
      </c>
      <c r="F41" s="214">
        <f t="shared" si="49"/>
        <v>-251018.19662543177</v>
      </c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</row>
    <row r="42" spans="1:131" ht="15.75">
      <c r="A42" s="211" t="s">
        <v>68</v>
      </c>
      <c r="B42" s="215">
        <f>SUM(B21:M21)</f>
        <v>-1082519.1000000003</v>
      </c>
      <c r="C42" s="215">
        <f>SUM(N21:Y21)</f>
        <v>91764.324981818048</v>
      </c>
      <c r="D42" s="215">
        <f>SUM(Z21:AK21)</f>
        <v>465874.11629999999</v>
      </c>
      <c r="E42" s="215">
        <f>SUM(AL21:AW21)</f>
        <v>981528.54776999983</v>
      </c>
      <c r="F42" s="215">
        <f>SUM(AX21:BI21)</f>
        <v>1840800.1085864995</v>
      </c>
      <c r="G42" s="56"/>
      <c r="H42" s="56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</row>
    <row r="43" spans="1:131" ht="15.75">
      <c r="A43" s="170" t="s">
        <v>69</v>
      </c>
      <c r="B43" s="172">
        <v>0.13</v>
      </c>
      <c r="C43" s="167"/>
      <c r="D43" s="167"/>
      <c r="E43" s="167"/>
      <c r="F43" s="167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</row>
    <row r="44" spans="1:131" ht="15.75">
      <c r="A44" s="170" t="s">
        <v>70</v>
      </c>
      <c r="B44" s="173">
        <f>NPV(B43,B42:F42)</f>
        <v>1037859.943462929</v>
      </c>
      <c r="C44" s="167"/>
      <c r="D44" s="167"/>
      <c r="E44" s="218"/>
      <c r="F44" s="218"/>
      <c r="G44" s="219"/>
      <c r="H44" s="219"/>
      <c r="I44" s="219"/>
      <c r="J44" s="219"/>
      <c r="K44" s="58"/>
      <c r="L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</row>
    <row r="45" spans="1:131" ht="15.75">
      <c r="A45" s="174" t="s">
        <v>195</v>
      </c>
      <c r="B45" s="176">
        <v>1128425.12181818</v>
      </c>
      <c r="C45" s="175" t="s">
        <v>201</v>
      </c>
      <c r="E45" s="168"/>
      <c r="F45" s="168"/>
      <c r="G45" s="1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</row>
    <row r="46" spans="1:131" ht="15.75">
      <c r="A46" s="174" t="s">
        <v>207</v>
      </c>
      <c r="B46" s="217">
        <f>IRR(B42:F42)</f>
        <v>0.42368604379214414</v>
      </c>
      <c r="C46" s="175" t="s">
        <v>208</v>
      </c>
      <c r="E46" s="168"/>
      <c r="F46" s="16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</row>
    <row r="47" spans="1:131" ht="15.75">
      <c r="A47" s="174" t="s">
        <v>209</v>
      </c>
      <c r="B47" s="220">
        <f>B44</f>
        <v>1037859.943462929</v>
      </c>
      <c r="D47" s="154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</row>
    <row r="48" spans="1:131" ht="15.75">
      <c r="A48" s="174" t="s">
        <v>210</v>
      </c>
      <c r="B48" s="221">
        <f>B47+B45</f>
        <v>2166285.065281109</v>
      </c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</row>
    <row r="49" spans="1:111" ht="15.75">
      <c r="A49" s="174" t="s">
        <v>211</v>
      </c>
      <c r="B49" s="222">
        <f>B45/B48</f>
        <v>0.52090333811711409</v>
      </c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</row>
    <row r="50" spans="1:111"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</row>
    <row r="51" spans="1:111"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</row>
    <row r="52" spans="1:111"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</row>
    <row r="53" spans="1:111"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</row>
    <row r="54" spans="1:111"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</row>
    <row r="55" spans="1:111"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</row>
    <row r="56" spans="1:111"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</row>
    <row r="57" spans="1:111"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</row>
    <row r="58" spans="1:111"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</row>
    <row r="59" spans="1:111"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</row>
    <row r="60" spans="1:111"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</row>
    <row r="61" spans="1:111"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</row>
    <row r="62" spans="1:111"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</row>
    <row r="63" spans="1:111"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</row>
    <row r="64" spans="1:111"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</row>
    <row r="65" spans="62:111"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</row>
    <row r="66" spans="62:111"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</row>
    <row r="67" spans="62:111"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</row>
    <row r="68" spans="62:111"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</row>
    <row r="69" spans="62:111"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</row>
    <row r="70" spans="62:111"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</row>
    <row r="71" spans="62:111"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</row>
    <row r="72" spans="62:111"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</row>
    <row r="73" spans="62:111"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</row>
    <row r="74" spans="62:111"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</row>
    <row r="75" spans="62:111"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</row>
    <row r="76" spans="62:111"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</row>
    <row r="77" spans="62:111"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</row>
    <row r="78" spans="62:111"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</row>
    <row r="79" spans="62:111"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</row>
    <row r="80" spans="62:111"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</row>
    <row r="81" spans="62:111"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</row>
    <row r="82" spans="62:111"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</row>
    <row r="83" spans="62:111"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</row>
    <row r="84" spans="62:111"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</row>
    <row r="85" spans="62:111"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</row>
    <row r="86" spans="62:111"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</row>
    <row r="87" spans="62:111"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</row>
    <row r="88" spans="62:111"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</row>
    <row r="89" spans="62:111"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</row>
    <row r="90" spans="62:111"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</row>
    <row r="91" spans="62:111"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</row>
    <row r="92" spans="62:111"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</row>
    <row r="93" spans="62:111"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</row>
    <row r="94" spans="62:111"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8"/>
      <c r="CB94" s="58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</row>
    <row r="95" spans="62:111"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</row>
    <row r="96" spans="62:111"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</row>
    <row r="97" spans="62:111"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</row>
    <row r="98" spans="62:111"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</row>
    <row r="99" spans="62:111"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</row>
    <row r="100" spans="62:111"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</row>
    <row r="101" spans="62:111"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</row>
    <row r="102" spans="62:111"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</row>
    <row r="103" spans="62:111"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</row>
    <row r="104" spans="62:111"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  <c r="CA104" s="58"/>
      <c r="CB104" s="58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</row>
    <row r="105" spans="62:111"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</row>
    <row r="106" spans="62:111"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</row>
    <row r="107" spans="62:111"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</row>
    <row r="108" spans="62:111"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</row>
    <row r="109" spans="62:111"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8"/>
      <c r="CB109" s="58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</row>
    <row r="110" spans="62:111"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</row>
    <row r="111" spans="62:111"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</row>
    <row r="112" spans="62:111"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</row>
    <row r="113" spans="62:111"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</row>
    <row r="114" spans="62:111"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</row>
    <row r="115" spans="62:111"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</row>
    <row r="116" spans="62:111"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</row>
    <row r="117" spans="62:111"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</row>
    <row r="118" spans="62:111"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</row>
    <row r="119" spans="62:111"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</row>
    <row r="120" spans="62:111"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</row>
    <row r="121" spans="62:111"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</row>
    <row r="122" spans="62:111"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</row>
    <row r="123" spans="62:111"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</row>
    <row r="124" spans="62:111"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</row>
    <row r="125" spans="62:111"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</row>
    <row r="126" spans="62:111"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</row>
    <row r="127" spans="62:111"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</row>
    <row r="128" spans="62:111"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</row>
    <row r="129" spans="62:111"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</row>
    <row r="130" spans="62:111"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</row>
    <row r="131" spans="62:111"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</row>
    <row r="132" spans="62:111"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</row>
    <row r="133" spans="62:111"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</row>
    <row r="134" spans="62:111"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</row>
    <row r="135" spans="62:111"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</row>
    <row r="136" spans="62:111"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</row>
    <row r="137" spans="62:111"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</row>
    <row r="138" spans="62:111"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</row>
    <row r="139" spans="62:111"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</row>
    <row r="140" spans="62:111"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</row>
    <row r="141" spans="62:111"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</row>
    <row r="142" spans="62:111"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</row>
    <row r="143" spans="62:111"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</row>
    <row r="144" spans="62:111"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</row>
    <row r="145" spans="62:111"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</row>
    <row r="146" spans="62:111"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</row>
    <row r="147" spans="62:111"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</row>
    <row r="148" spans="62:111"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</row>
    <row r="149" spans="62:111"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</row>
    <row r="150" spans="62:111"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</row>
    <row r="151" spans="62:111"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</row>
    <row r="152" spans="62:111"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</row>
    <row r="153" spans="62:111"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</row>
    <row r="154" spans="62:111"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</row>
    <row r="155" spans="62:111"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</row>
    <row r="156" spans="62:111"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</row>
    <row r="157" spans="62:111"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</row>
    <row r="158" spans="62:111"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</row>
    <row r="159" spans="62:111"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</row>
    <row r="160" spans="62:111"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</row>
    <row r="161" spans="62:111"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</row>
    <row r="162" spans="62:111"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</row>
    <row r="163" spans="62:111"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</row>
    <row r="164" spans="62:111"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</row>
    <row r="165" spans="62:111"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</row>
    <row r="166" spans="62:111"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</row>
    <row r="167" spans="62:111"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</row>
    <row r="168" spans="62:111"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</row>
    <row r="169" spans="62:111"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</row>
    <row r="170" spans="62:111"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</row>
    <row r="171" spans="62:111"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</row>
    <row r="172" spans="62:111"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</row>
    <row r="173" spans="62:111"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</row>
    <row r="174" spans="62:111"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</row>
    <row r="175" spans="62:111"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</row>
    <row r="176" spans="62:111"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</row>
    <row r="177" spans="62:111"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</row>
    <row r="178" spans="62:111"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</row>
    <row r="179" spans="62:111"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</row>
  </sheetData>
  <mergeCells count="1">
    <mergeCell ref="A1:C1"/>
  </mergeCells>
  <pageMargins left="0.7" right="0.7" top="0.75" bottom="0.75" header="0.3" footer="0.3"/>
  <pageSetup paperSize="9" orientation="portrait" horizontalDpi="300" verticalDpi="300" r:id="rId1"/>
  <drawing r:id="rId2"/>
  <legacyDrawing r:id="rId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13</vt:i4>
      </vt:variant>
    </vt:vector>
  </HeadingPairs>
  <TitlesOfParts>
    <vt:vector size="21" baseType="lpstr">
      <vt:lpstr>Tourbr.com (introdução)</vt:lpstr>
      <vt:lpstr>Premissas</vt:lpstr>
      <vt:lpstr>Receita</vt:lpstr>
      <vt:lpstr>Investimentos_infra</vt:lpstr>
      <vt:lpstr>Despesas</vt:lpstr>
      <vt:lpstr>Custos</vt:lpstr>
      <vt:lpstr>Funcionários</vt:lpstr>
      <vt:lpstr>Resultados</vt:lpstr>
      <vt:lpstr>assinatura</vt:lpstr>
      <vt:lpstr>Company</vt:lpstr>
      <vt:lpstr>csll</vt:lpstr>
      <vt:lpstr>currency</vt:lpstr>
      <vt:lpstr>emailmkt</vt:lpstr>
      <vt:lpstr>end</vt:lpstr>
      <vt:lpstr>imp_fat</vt:lpstr>
      <vt:lpstr>ir</vt:lpstr>
      <vt:lpstr>ir_csll</vt:lpstr>
      <vt:lpstr>ISS</vt:lpstr>
      <vt:lpstr>reajuste</vt:lpstr>
      <vt:lpstr>reajuste_sal</vt:lpstr>
      <vt:lpstr>start</vt:lpstr>
    </vt:vector>
  </TitlesOfParts>
  <Company>JD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PN Tourbr</dc:title>
  <dc:creator>jd</dc:creator>
  <cp:lastModifiedBy>jd</cp:lastModifiedBy>
  <cp:lastPrinted>2010-02-08T16:53:00Z</cp:lastPrinted>
  <dcterms:created xsi:type="dcterms:W3CDTF">2008-01-22T14:21:52Z</dcterms:created>
  <dcterms:modified xsi:type="dcterms:W3CDTF">2012-04-20T19:43:51Z</dcterms:modified>
</cp:coreProperties>
</file>