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sociacao\Documents\Editora Empreende\Livros\PNcomCanvas-ed2\site jd\"/>
    </mc:Choice>
  </mc:AlternateContent>
  <xr:revisionPtr revIDLastSave="0" documentId="13_ncr:1_{21A767A5-9DE1-447A-8963-ECF27F9D2ECA}" xr6:coauthVersionLast="45" xr6:coauthVersionMax="45" xr10:uidLastSave="{00000000-0000-0000-0000-000000000000}"/>
  <bookViews>
    <workbookView xWindow="-120" yWindow="-120" windowWidth="20730" windowHeight="11310" tabRatio="825" xr2:uid="{00000000-000D-0000-FFFF-FFFF00000000}"/>
  </bookViews>
  <sheets>
    <sheet name="Premissas" sheetId="1" r:id="rId1"/>
    <sheet name="Receita" sheetId="7" r:id="rId2"/>
    <sheet name="Investimentos_infra" sheetId="8" r:id="rId3"/>
    <sheet name="Despesas" sheetId="9" r:id="rId4"/>
    <sheet name="Custos" sheetId="6" r:id="rId5"/>
    <sheet name="Funcionários" sheetId="5" r:id="rId6"/>
    <sheet name="Resultados" sheetId="15" r:id="rId7"/>
  </sheets>
  <definedNames>
    <definedName name="Aluguel_condomínio_e_IPTU_imóvel">Premissas!#REF!</definedName>
    <definedName name="assinatura">Premissas!$B$23</definedName>
    <definedName name="Benefícios_Funcionários_Assistência_Médica">Premissas!#REF!</definedName>
    <definedName name="Benefícios_Funcionários_VISA_VALE">Premissas!#REF!</definedName>
    <definedName name="Cancelamento_da_transferência_de_proprietário">Premissas!#REF!</definedName>
    <definedName name="Cancelamento_do_Gravame">Premissas!#REF!</definedName>
    <definedName name="Company">Premissas!$B$7</definedName>
    <definedName name="Comunicação_de_venda_arrendamento_mercantil">Premissas!#REF!</definedName>
    <definedName name="Consulta_a_base_de_dados__Estadual_e_Federal">Premissas!#REF!</definedName>
    <definedName name="Consulta_de_histórico_do_veículo">Premissas!#REF!</definedName>
    <definedName name="csll">Premissas!$B$20</definedName>
    <definedName name="currency">Premissas!$B$10</definedName>
    <definedName name="Custo_Mensal_Hospedagem_dedicada">Premissas!#REF!</definedName>
    <definedName name="Custo_Mensal_Telefonia_e_Internet">Premissas!#REF!</definedName>
    <definedName name="Custo_Sistema_Cancel_Transf_Proprietário">Premissas!#REF!</definedName>
    <definedName name="Custo_Sistema_Cancelamento_Gravame">Premissas!#REF!</definedName>
    <definedName name="Custo_Sistema_Comunicação_de_venda_arrendamento_mercantil">Premissas!#REF!</definedName>
    <definedName name="Custo_Sistema_Consulta_Base_Dados">Premissas!#REF!</definedName>
    <definedName name="Custo_Sistema_Consulta_Histórico">Premissas!#REF!</definedName>
    <definedName name="Custo_Sistema_Quitação_Baixa_Gravame">Premissas!#REF!</definedName>
    <definedName name="Custo_Sistema_Registro_Contrato_Alienação_Fiduciária">Premissas!#REF!</definedName>
    <definedName name="Custo_Sistema_Registro_Gravame">Premissas!#REF!</definedName>
    <definedName name="Custo_Sistema_Transferência">Premissas!#REF!</definedName>
    <definedName name="Demanda_Acre">Premissas!#REF!</definedName>
    <definedName name="Demanda_Alagoas">Premissas!#REF!</definedName>
    <definedName name="Demanda_Amapá">Premissas!#REF!</definedName>
    <definedName name="Demanda_Amazonas">Premissas!#REF!</definedName>
    <definedName name="Demanda_Bahia">Premissas!#REF!</definedName>
    <definedName name="Demanda_Ceará">Premissas!#REF!</definedName>
    <definedName name="Demanda_Distrito_Federal">Premissas!#REF!</definedName>
    <definedName name="Demanda_Espírito_Santo">Premissas!#REF!</definedName>
    <definedName name="Demanda_Goiás">Premissas!#REF!</definedName>
    <definedName name="Demanda_Maranhão">Premissas!#REF!</definedName>
    <definedName name="Demanda_Mato_Grosso">Premissas!#REF!</definedName>
    <definedName name="Demanda_Mato_Grosso_do_Sul">Premissas!#REF!</definedName>
    <definedName name="Demanda_Minas_Gerais">Premissas!#REF!</definedName>
    <definedName name="Demanda_Pará">Premissas!#REF!</definedName>
    <definedName name="Demanda_Paraíba">Premissas!#REF!</definedName>
    <definedName name="Demanda_Paraná">Premissas!#REF!</definedName>
    <definedName name="Demanda_Pernambuco">Premissas!#REF!</definedName>
    <definedName name="Demanda_Piauí">Premissas!#REF!</definedName>
    <definedName name="Demanda_Rio_de_Janeiro">Premissas!#REF!</definedName>
    <definedName name="Demanda_Rio_Grande_do_Norte">Premissas!#REF!</definedName>
    <definedName name="Demanda_Rio_Grande_do_Sul">Premissas!#REF!</definedName>
    <definedName name="Demanda_Rondônia">Premissas!#REF!</definedName>
    <definedName name="Demanda_Roraima">Premissas!#REF!</definedName>
    <definedName name="Demanda_Santa_Catarina">Premissas!#REF!</definedName>
    <definedName name="Demanda_São_Paulo">Premissas!#REF!</definedName>
    <definedName name="Demanda_Sergipe">Premissas!#REF!</definedName>
    <definedName name="Demanda_Tocantins">Premissas!#REF!</definedName>
    <definedName name="Desconto_em_relação_ao_concorrente">Premissas!#REF!</definedName>
    <definedName name="Desenvolvimento_Novos_Produtos_Porcentual_do_faturamento">Premissas!#REF!</definedName>
    <definedName name="Desp_MKT_Divulgação">Premissas!#REF!</definedName>
    <definedName name="Desp_MKT_Relacionamento">Premissas!#REF!</definedName>
    <definedName name="Desp_MKT_Viagens">Premissas!#REF!</definedName>
    <definedName name="Desp_Novo_Escritório_Comercial_Aluguel_condomínio_e_IPTU_imóvel">Premissas!#REF!</definedName>
    <definedName name="Desp_Novo_Escritório_Comercial_Infra_estrutura_geral">Premissas!#REF!</definedName>
    <definedName name="Desp_Novo_Escritório_Comercial_Telefonia">Premissas!#REF!</definedName>
    <definedName name="Despesa_Mensal_Aluguel__condomínio_e_IPTU_imóvel">Premissas!#REF!</definedName>
    <definedName name="Despesa_Mensal_Assessoria_jurídica">Premissas!#REF!</definedName>
    <definedName name="Despesa_Mensal_Contador">Premissas!#REF!</definedName>
    <definedName name="Despesa_Mensal_Despesas_Bancárias">Premissas!#REF!</definedName>
    <definedName name="Despesa_Mensal_Energia_Elétrica">Premissas!#REF!</definedName>
    <definedName name="Despesa_Mensal_Limpeza_e_copa_terceirizado">Premissas!#REF!</definedName>
    <definedName name="Despesa_Mensal_Material_Escritório">Premissas!#REF!</definedName>
    <definedName name="Despesa_Mensal_Material_Informática">Premissas!#REF!</definedName>
    <definedName name="Despesa_Mensal_Outros">Premissas!#REF!</definedName>
    <definedName name="Despesa_Mensal_Treinamento">Premissas!#REF!</definedName>
    <definedName name="E_1">Premissas!#REF!</definedName>
    <definedName name="E_2">Premissas!#REF!</definedName>
    <definedName name="E_3">Premissas!#REF!</definedName>
    <definedName name="E_4">Premissas!#REF!</definedName>
    <definedName name="E_5">Premissas!#REF!</definedName>
    <definedName name="emailmkt">Premissas!#REF!</definedName>
    <definedName name="emp">Premissas!#REF!</definedName>
    <definedName name="Encargos_sobre_Salários_dos_Estagiários">Premissas!#REF!</definedName>
    <definedName name="Encargos_sobre_Salários_dos_Funcionários">Premissas!#REF!</definedName>
    <definedName name="Encargos_sobre_Salários_dos_Sócios">Premissas!#REF!</definedName>
    <definedName name="end">Premissas!$B$9</definedName>
    <definedName name="Energia_Elétrica">Premissas!#REF!</definedName>
    <definedName name="G_1">Premissas!#REF!</definedName>
    <definedName name="G_2">Premissas!#REF!</definedName>
    <definedName name="G_3">Premissas!#REF!</definedName>
    <definedName name="G_4">Premissas!#REF!</definedName>
    <definedName name="G_5">Premissas!#REF!</definedName>
    <definedName name="Imp_f">Premissas!$B$18</definedName>
    <definedName name="imp_fat">Premissas!$B$18</definedName>
    <definedName name="Impostos_CSLL">Premissas!#REF!</definedName>
    <definedName name="Impostos_Impostos_sobre_receita_bruta_pis_iss_cofins">Premissas!#REF!</definedName>
    <definedName name="Impostos_IR">Premissas!#REF!</definedName>
    <definedName name="Invest_Pré_Oper_Infra_Estrutura">Premissas!#REF!</definedName>
    <definedName name="Invest_Pré_Operacional_Infra_Estrutura">Premissas!#REF!</definedName>
    <definedName name="Invest_Pré_Operacional_Outros">Premissas!#REF!</definedName>
    <definedName name="ir">Premissas!$B$19</definedName>
    <definedName name="ir_csll">Premissas!$B$20</definedName>
    <definedName name="ISS">Premissas!$B$16</definedName>
    <definedName name="M_1">Premissas!$B$26</definedName>
    <definedName name="M_2">Premissas!$C$26</definedName>
    <definedName name="M_3">Premissas!$D$26</definedName>
    <definedName name="M_4">Premissas!$E$26</definedName>
    <definedName name="M_5">Premissas!$F$26</definedName>
    <definedName name="Material_de_Escritório">Premissas!#REF!</definedName>
    <definedName name="Material_de_Informática">Premissas!#REF!</definedName>
    <definedName name="P_1">Premissas!$B$25</definedName>
    <definedName name="P_2">Premissas!$C$25</definedName>
    <definedName name="P_3">Premissas!$D$25</definedName>
    <definedName name="P_4">Premissas!$E$25</definedName>
    <definedName name="P_5">Premissas!$F$25</definedName>
    <definedName name="Quitação_e_ou_baixa_de_Gravame">Premissas!#REF!</definedName>
    <definedName name="reajuste">Premissas!$B$15</definedName>
    <definedName name="reajuste_sal">Premissas!$B$16</definedName>
    <definedName name="rec_bov">Premissas!#REF!</definedName>
    <definedName name="rec_bov2">Premissas!#REF!</definedName>
    <definedName name="rec_ovi">Premissas!#REF!</definedName>
    <definedName name="Registro_de_Gravame">Premissas!#REF!</definedName>
    <definedName name="Registro_do_Contrato_de_alienação_fiduciária">Premissas!#REF!</definedName>
    <definedName name="roy_bov">Premissas!#REF!</definedName>
    <definedName name="roy_bov2">Premissas!#REF!</definedName>
    <definedName name="roy_ovi">Premissas!#REF!</definedName>
    <definedName name="start">Premissas!$B$8</definedName>
    <definedName name="T_1">Premissas!$B$27</definedName>
    <definedName name="Transferência_de_propriedade">Premissas!#REF!</definedName>
    <definedName name="U_1">Premissas!$B$23</definedName>
    <definedName name="U_2">Premissas!$C$23</definedName>
    <definedName name="U_3">Premissas!$D$23</definedName>
    <definedName name="U_4">Premissas!$E$23</definedName>
    <definedName name="U_5">Premissas!$F$23</definedName>
    <definedName name="Valores_FENASEG_Cancelamento_Gravame">Premissas!#REF!</definedName>
    <definedName name="Valores_FENASEG_Cancelamento_Transf_Proprietário">Premissas!#REF!</definedName>
    <definedName name="Valores_FENASEG_Comunicação_de_venda_arrendamento_mercantil">Premissas!#REF!</definedName>
    <definedName name="Valores_FENASEG_Consulta_Base_Dados">Premissas!#REF!</definedName>
    <definedName name="Valores_FENASEG_Consulta_Histórico_Veículo">Premissas!#REF!</definedName>
    <definedName name="Valores_FENASEG_Quitação_Baixa_Gravame">Premissas!#REF!</definedName>
    <definedName name="Valores_FENASEG_Registro_Contrato_Alienação_Fiduciária">Premissas!#REF!</definedName>
    <definedName name="Valores_FENASEG_Registro_gravame">Premissas!#REF!</definedName>
    <definedName name="Valores_FENASEG_Transferência_Propriedade">Premissas!#REF!</definedName>
    <definedName name="Valores_Tecnobank_Cancelamento_Gravame">Premissas!#REF!</definedName>
    <definedName name="Valores_Tecnobank_Cancelamento_Transf_Proprietário">Premissas!#REF!</definedName>
    <definedName name="Valores_Tecnobank_Comunicação_de_venda_arrendamento_mercantil">Premissas!#REF!</definedName>
    <definedName name="Valores_Tecnobank_Consulta_Base_Dados">Premissas!#REF!</definedName>
    <definedName name="Valores_Tecnobank_Consulta_Histórico_Veículo">Premissas!#REF!</definedName>
    <definedName name="Valores_Tecnobank_Quitação_Baixa_Gravame">Premissas!#REF!</definedName>
    <definedName name="Valores_Tecnobank_Registro_Contrato_Alienação_Fiduciária">Premissas!#REF!</definedName>
    <definedName name="Valores_Tecnobank_Registro_gravame">Premissas!#REF!</definedName>
    <definedName name="Valores_Tecnobank_Transferência_Propriedade">Premissas!#REF!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B23" i="5" l="1"/>
  <c r="F9" i="9" l="1"/>
  <c r="G9" i="9" s="1"/>
  <c r="H9" i="9" s="1"/>
  <c r="I9" i="9" s="1"/>
  <c r="J9" i="9" s="1"/>
  <c r="K9" i="9" s="1"/>
  <c r="L9" i="9" s="1"/>
  <c r="M9" i="9" s="1"/>
  <c r="C16" i="5" l="1"/>
  <c r="D16" i="5" s="1"/>
  <c r="E16" i="5" s="1"/>
  <c r="F16" i="5" s="1"/>
  <c r="G16" i="5" s="1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AA16" i="5" s="1"/>
  <c r="AB16" i="5" s="1"/>
  <c r="AC16" i="5" s="1"/>
  <c r="AD16" i="5" s="1"/>
  <c r="AE16" i="5" s="1"/>
  <c r="AF16" i="5" s="1"/>
  <c r="AG16" i="5" s="1"/>
  <c r="AH16" i="5" s="1"/>
  <c r="AI16" i="5" s="1"/>
  <c r="AJ16" i="5" s="1"/>
  <c r="AK16" i="5" s="1"/>
  <c r="AL16" i="5" s="1"/>
  <c r="AM16" i="5" s="1"/>
  <c r="AN16" i="5" s="1"/>
  <c r="AO16" i="5" s="1"/>
  <c r="AP16" i="5" s="1"/>
  <c r="AQ16" i="5" s="1"/>
  <c r="AR16" i="5" s="1"/>
  <c r="AS16" i="5" s="1"/>
  <c r="AT16" i="5" s="1"/>
  <c r="AU16" i="5" s="1"/>
  <c r="AV16" i="5" s="1"/>
  <c r="AW16" i="5" s="1"/>
  <c r="AX16" i="5" s="1"/>
  <c r="AY16" i="5" s="1"/>
  <c r="AZ16" i="5" s="1"/>
  <c r="BA16" i="5" s="1"/>
  <c r="BB16" i="5" s="1"/>
  <c r="BC16" i="5" s="1"/>
  <c r="BD16" i="5" s="1"/>
  <c r="BE16" i="5" s="1"/>
  <c r="BF16" i="5" s="1"/>
  <c r="BG16" i="5" s="1"/>
  <c r="BH16" i="5" s="1"/>
  <c r="BI16" i="5" s="1"/>
  <c r="B18" i="1" l="1"/>
  <c r="N10" i="8" l="1"/>
  <c r="N14" i="15" s="1"/>
  <c r="O10" i="8"/>
  <c r="P10" i="8"/>
  <c r="P14" i="15" s="1"/>
  <c r="Q10" i="8"/>
  <c r="Q14" i="15" s="1"/>
  <c r="R10" i="8"/>
  <c r="R14" i="15" s="1"/>
  <c r="S10" i="8"/>
  <c r="T10" i="8"/>
  <c r="T14" i="15" s="1"/>
  <c r="U10" i="8"/>
  <c r="U14" i="15" s="1"/>
  <c r="V10" i="8"/>
  <c r="V14" i="15" s="1"/>
  <c r="W10" i="8"/>
  <c r="X10" i="8"/>
  <c r="X14" i="15" s="1"/>
  <c r="Z10" i="8"/>
  <c r="Z14" i="15" s="1"/>
  <c r="AA10" i="8"/>
  <c r="AB10" i="8"/>
  <c r="AB14" i="15" s="1"/>
  <c r="AC10" i="8"/>
  <c r="AC14" i="15" s="1"/>
  <c r="AD10" i="8"/>
  <c r="AD14" i="15" s="1"/>
  <c r="AE10" i="8"/>
  <c r="AF10" i="8"/>
  <c r="AF14" i="15" s="1"/>
  <c r="AG10" i="8"/>
  <c r="AG14" i="15" s="1"/>
  <c r="AH10" i="8"/>
  <c r="AH14" i="15" s="1"/>
  <c r="AI10" i="8"/>
  <c r="AJ10" i="8"/>
  <c r="AJ14" i="15" s="1"/>
  <c r="AL10" i="8"/>
  <c r="AL14" i="15" s="1"/>
  <c r="AM10" i="8"/>
  <c r="AN10" i="8"/>
  <c r="AN14" i="15" s="1"/>
  <c r="AO10" i="8"/>
  <c r="AO14" i="15" s="1"/>
  <c r="AP10" i="8"/>
  <c r="AP14" i="15" s="1"/>
  <c r="AQ10" i="8"/>
  <c r="AR10" i="8"/>
  <c r="AR14" i="15" s="1"/>
  <c r="AS10" i="8"/>
  <c r="AS14" i="15" s="1"/>
  <c r="AT10" i="8"/>
  <c r="AT14" i="15" s="1"/>
  <c r="AU10" i="8"/>
  <c r="AV10" i="8"/>
  <c r="AV14" i="15" s="1"/>
  <c r="AX10" i="8"/>
  <c r="AX14" i="15" s="1"/>
  <c r="AY10" i="8"/>
  <c r="AZ10" i="8"/>
  <c r="AZ14" i="15" s="1"/>
  <c r="BA10" i="8"/>
  <c r="BA14" i="15" s="1"/>
  <c r="BB10" i="8"/>
  <c r="BB14" i="15" s="1"/>
  <c r="BC10" i="8"/>
  <c r="BD10" i="8"/>
  <c r="BD14" i="15" s="1"/>
  <c r="BE10" i="8"/>
  <c r="BE14" i="15" s="1"/>
  <c r="BF10" i="8"/>
  <c r="BF14" i="15" s="1"/>
  <c r="BG10" i="8"/>
  <c r="BH10" i="8"/>
  <c r="BH14" i="15" s="1"/>
  <c r="F17" i="8"/>
  <c r="O14" i="15"/>
  <c r="S14" i="15"/>
  <c r="W14" i="15"/>
  <c r="AA14" i="15"/>
  <c r="AE14" i="15"/>
  <c r="AI14" i="15"/>
  <c r="AM14" i="15"/>
  <c r="AQ14" i="15"/>
  <c r="AU14" i="15"/>
  <c r="AY14" i="15"/>
  <c r="BC14" i="15"/>
  <c r="BG14" i="15"/>
  <c r="F16" i="6"/>
  <c r="F19" i="6"/>
  <c r="F20" i="6"/>
  <c r="E16" i="6"/>
  <c r="E19" i="6"/>
  <c r="E20" i="6"/>
  <c r="D16" i="6"/>
  <c r="D19" i="6"/>
  <c r="D20" i="6"/>
  <c r="C16" i="6"/>
  <c r="C19" i="6"/>
  <c r="C20" i="6"/>
  <c r="B16" i="6"/>
  <c r="B19" i="6"/>
  <c r="B20" i="6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C17" i="8"/>
  <c r="B17" i="8"/>
  <c r="AW9" i="8"/>
  <c r="E17" i="8" s="1"/>
  <c r="AK9" i="8"/>
  <c r="D17" i="8" s="1"/>
  <c r="Y9" i="8"/>
  <c r="BI9" i="8" s="1"/>
  <c r="B7" i="8"/>
  <c r="B6" i="8"/>
  <c r="B47" i="5"/>
  <c r="B5" i="8" s="1"/>
  <c r="AY27" i="5"/>
  <c r="AY13" i="5"/>
  <c r="AZ13" i="5"/>
  <c r="AZ27" i="5" s="1"/>
  <c r="BA13" i="5"/>
  <c r="BA27" i="5" s="1"/>
  <c r="BB13" i="5"/>
  <c r="BC13" i="5"/>
  <c r="BC27" i="5" s="1"/>
  <c r="BD13" i="5"/>
  <c r="BD27" i="5" s="1"/>
  <c r="BE13" i="5"/>
  <c r="BE27" i="5" s="1"/>
  <c r="BF13" i="5"/>
  <c r="BG13" i="5"/>
  <c r="BG27" i="5" s="1"/>
  <c r="BH13" i="5"/>
  <c r="BH27" i="5" s="1"/>
  <c r="BI13" i="5"/>
  <c r="BI27" i="5" s="1"/>
  <c r="AX13" i="5"/>
  <c r="AM13" i="5"/>
  <c r="AM27" i="5" s="1"/>
  <c r="AN13" i="5"/>
  <c r="AN27" i="5" s="1"/>
  <c r="AO13" i="5"/>
  <c r="AO27" i="5" s="1"/>
  <c r="AP13" i="5"/>
  <c r="AQ13" i="5"/>
  <c r="AQ27" i="5" s="1"/>
  <c r="AR13" i="5"/>
  <c r="AR27" i="5" s="1"/>
  <c r="AS13" i="5"/>
  <c r="AS27" i="5" s="1"/>
  <c r="AT13" i="5"/>
  <c r="AU13" i="5"/>
  <c r="AU27" i="5" s="1"/>
  <c r="AV13" i="5"/>
  <c r="AV27" i="5" s="1"/>
  <c r="AW13" i="5"/>
  <c r="AW27" i="5" s="1"/>
  <c r="AL13" i="5"/>
  <c r="AA13" i="5"/>
  <c r="AA27" i="5" s="1"/>
  <c r="AB13" i="5"/>
  <c r="AB27" i="5" s="1"/>
  <c r="AC13" i="5"/>
  <c r="AC27" i="5" s="1"/>
  <c r="AD13" i="5"/>
  <c r="AE13" i="5"/>
  <c r="AE27" i="5" s="1"/>
  <c r="AF13" i="5"/>
  <c r="AF27" i="5" s="1"/>
  <c r="AG13" i="5"/>
  <c r="AG27" i="5" s="1"/>
  <c r="AH13" i="5"/>
  <c r="AI13" i="5"/>
  <c r="AI27" i="5" s="1"/>
  <c r="AJ13" i="5"/>
  <c r="AJ27" i="5" s="1"/>
  <c r="AK13" i="5"/>
  <c r="AK27" i="5" s="1"/>
  <c r="Z13" i="5"/>
  <c r="O13" i="5"/>
  <c r="O27" i="5" s="1"/>
  <c r="P13" i="5"/>
  <c r="P27" i="5" s="1"/>
  <c r="Q13" i="5"/>
  <c r="Q27" i="5" s="1"/>
  <c r="R13" i="5"/>
  <c r="S13" i="5"/>
  <c r="S27" i="5" s="1"/>
  <c r="T13" i="5"/>
  <c r="T27" i="5" s="1"/>
  <c r="U13" i="5"/>
  <c r="U27" i="5" s="1"/>
  <c r="V13" i="5"/>
  <c r="W13" i="5"/>
  <c r="W27" i="5" s="1"/>
  <c r="X13" i="5"/>
  <c r="X27" i="5" s="1"/>
  <c r="Y13" i="5"/>
  <c r="Y27" i="5" s="1"/>
  <c r="N13" i="5"/>
  <c r="C13" i="5"/>
  <c r="C27" i="5" s="1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20" i="5"/>
  <c r="B27" i="5" s="1"/>
  <c r="E15" i="7"/>
  <c r="F15" i="7"/>
  <c r="AX7" i="7"/>
  <c r="AL7" i="7"/>
  <c r="Z9" i="7"/>
  <c r="C7" i="7"/>
  <c r="D51" i="1"/>
  <c r="D17" i="7" s="1"/>
  <c r="D50" i="1"/>
  <c r="C49" i="1"/>
  <c r="C15" i="7" s="1"/>
  <c r="D49" i="1"/>
  <c r="E49" i="1"/>
  <c r="F49" i="1"/>
  <c r="B49" i="1"/>
  <c r="B7" i="7" s="1"/>
  <c r="C39" i="1"/>
  <c r="C38" i="1"/>
  <c r="D38" i="1"/>
  <c r="E38" i="1"/>
  <c r="F38" i="1"/>
  <c r="B38" i="1"/>
  <c r="F35" i="1"/>
  <c r="E35" i="1"/>
  <c r="D35" i="1"/>
  <c r="C35" i="1"/>
  <c r="C51" i="1" s="1"/>
  <c r="B35" i="1"/>
  <c r="F34" i="1"/>
  <c r="E34" i="1"/>
  <c r="D34" i="1"/>
  <c r="C34" i="1"/>
  <c r="C50" i="1" s="1"/>
  <c r="C31" i="1"/>
  <c r="C40" i="1" s="1"/>
  <c r="D31" i="1"/>
  <c r="D40" i="1" s="1"/>
  <c r="E31" i="1"/>
  <c r="E40" i="1" s="1"/>
  <c r="F31" i="1"/>
  <c r="F40" i="1" s="1"/>
  <c r="B31" i="1"/>
  <c r="B51" i="1" s="1"/>
  <c r="C30" i="1"/>
  <c r="D30" i="1"/>
  <c r="D39" i="1" s="1"/>
  <c r="E30" i="1"/>
  <c r="F30" i="1"/>
  <c r="F39" i="1" s="1"/>
  <c r="B30" i="1"/>
  <c r="B50" i="1" s="1"/>
  <c r="B9" i="7" l="1"/>
  <c r="B17" i="7"/>
  <c r="AA9" i="7"/>
  <c r="Z9" i="15"/>
  <c r="Z8" i="7"/>
  <c r="D16" i="7"/>
  <c r="D13" i="5"/>
  <c r="N27" i="5"/>
  <c r="R27" i="5"/>
  <c r="AH27" i="5"/>
  <c r="AL27" i="5"/>
  <c r="AP27" i="5"/>
  <c r="BB27" i="5"/>
  <c r="B10" i="8"/>
  <c r="E50" i="1"/>
  <c r="E39" i="1"/>
  <c r="E41" i="1" s="1"/>
  <c r="E43" i="1" s="1"/>
  <c r="C16" i="7"/>
  <c r="N8" i="7"/>
  <c r="C17" i="7"/>
  <c r="N9" i="7"/>
  <c r="V27" i="5"/>
  <c r="Z27" i="5"/>
  <c r="AD27" i="5"/>
  <c r="AT27" i="5"/>
  <c r="AX27" i="5"/>
  <c r="BF27" i="5"/>
  <c r="B8" i="7"/>
  <c r="B16" i="7"/>
  <c r="D15" i="7"/>
  <c r="Z7" i="7"/>
  <c r="AY7" i="7"/>
  <c r="AX7" i="15"/>
  <c r="AM7" i="7"/>
  <c r="AL7" i="15"/>
  <c r="B8" i="8"/>
  <c r="B7" i="15"/>
  <c r="E51" i="1"/>
  <c r="N7" i="7"/>
  <c r="B15" i="7"/>
  <c r="D7" i="7"/>
  <c r="C7" i="15"/>
  <c r="F50" i="1"/>
  <c r="F51" i="1"/>
  <c r="D41" i="1"/>
  <c r="D43" i="1" s="1"/>
  <c r="C41" i="1"/>
  <c r="C43" i="1" s="1"/>
  <c r="B40" i="1"/>
  <c r="B39" i="1"/>
  <c r="B41" i="1" s="1"/>
  <c r="B43" i="1" s="1"/>
  <c r="B44" i="1" s="1"/>
  <c r="F41" i="1"/>
  <c r="F43" i="1" s="1"/>
  <c r="B21" i="9"/>
  <c r="C21" i="9"/>
  <c r="D21" i="9"/>
  <c r="E21" i="9"/>
  <c r="F21" i="9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7" i="6"/>
  <c r="C7" i="8"/>
  <c r="D7" i="8"/>
  <c r="E7" i="8"/>
  <c r="F7" i="8"/>
  <c r="G7" i="8"/>
  <c r="H7" i="8"/>
  <c r="I7" i="8"/>
  <c r="J7" i="8"/>
  <c r="K7" i="8"/>
  <c r="L7" i="8"/>
  <c r="C8" i="8"/>
  <c r="D8" i="8"/>
  <c r="E8" i="8"/>
  <c r="F8" i="8"/>
  <c r="G8" i="8"/>
  <c r="H8" i="8"/>
  <c r="I8" i="8"/>
  <c r="J8" i="8"/>
  <c r="K8" i="8"/>
  <c r="L8" i="8"/>
  <c r="C5" i="8"/>
  <c r="D5" i="8"/>
  <c r="D10" i="8" s="1"/>
  <c r="D14" i="15" s="1"/>
  <c r="E5" i="8"/>
  <c r="E10" i="8" s="1"/>
  <c r="E14" i="15" s="1"/>
  <c r="F5" i="8"/>
  <c r="G5" i="8"/>
  <c r="H5" i="8"/>
  <c r="H10" i="8" s="1"/>
  <c r="H14" i="15" s="1"/>
  <c r="I5" i="8"/>
  <c r="I10" i="8" s="1"/>
  <c r="I14" i="15" s="1"/>
  <c r="J5" i="8"/>
  <c r="K5" i="8"/>
  <c r="L5" i="8"/>
  <c r="L10" i="8" s="1"/>
  <c r="L14" i="15" s="1"/>
  <c r="V16" i="9"/>
  <c r="V15" i="15" s="1"/>
  <c r="X16" i="9"/>
  <c r="X15" i="15" s="1"/>
  <c r="AB16" i="9"/>
  <c r="AB15" i="15" s="1"/>
  <c r="AP16" i="9"/>
  <c r="AP15" i="15" s="1"/>
  <c r="BB16" i="9"/>
  <c r="BB15" i="15" s="1"/>
  <c r="B16" i="9"/>
  <c r="B15" i="15" s="1"/>
  <c r="B26" i="9"/>
  <c r="U16" i="9"/>
  <c r="U15" i="15" s="1"/>
  <c r="C19" i="5"/>
  <c r="C26" i="5" s="1"/>
  <c r="D19" i="5"/>
  <c r="E19" i="5"/>
  <c r="E26" i="5" s="1"/>
  <c r="F19" i="5"/>
  <c r="G19" i="5"/>
  <c r="G26" i="5" s="1"/>
  <c r="H19" i="5"/>
  <c r="I19" i="5"/>
  <c r="I26" i="5" s="1"/>
  <c r="J19" i="5"/>
  <c r="K19" i="5"/>
  <c r="K26" i="5" s="1"/>
  <c r="L19" i="5"/>
  <c r="M19" i="5"/>
  <c r="M26" i="5" s="1"/>
  <c r="N19" i="5"/>
  <c r="N26" i="5" s="1"/>
  <c r="O19" i="5"/>
  <c r="P19" i="5"/>
  <c r="Q19" i="5"/>
  <c r="Q26" i="5" s="1"/>
  <c r="R19" i="5"/>
  <c r="S19" i="5"/>
  <c r="S26" i="5" s="1"/>
  <c r="T19" i="5"/>
  <c r="U19" i="5"/>
  <c r="U26" i="5" s="1"/>
  <c r="V19" i="5"/>
  <c r="V26" i="5" s="1"/>
  <c r="W19" i="5"/>
  <c r="W26" i="5" s="1"/>
  <c r="X19" i="5"/>
  <c r="Y19" i="5"/>
  <c r="Y26" i="5" s="1"/>
  <c r="Z19" i="5"/>
  <c r="Z26" i="5" s="1"/>
  <c r="AA19" i="5"/>
  <c r="AB19" i="5"/>
  <c r="AC19" i="5"/>
  <c r="AC26" i="5" s="1"/>
  <c r="AD19" i="5"/>
  <c r="AD26" i="5" s="1"/>
  <c r="AE19" i="5"/>
  <c r="AE26" i="5" s="1"/>
  <c r="AF19" i="5"/>
  <c r="AG19" i="5"/>
  <c r="AG26" i="5" s="1"/>
  <c r="AH19" i="5"/>
  <c r="AI19" i="5"/>
  <c r="AI26" i="5" s="1"/>
  <c r="AJ19" i="5"/>
  <c r="AK19" i="5"/>
  <c r="AK26" i="5" s="1"/>
  <c r="AL19" i="5"/>
  <c r="AM19" i="5"/>
  <c r="AM26" i="5" s="1"/>
  <c r="AN19" i="5"/>
  <c r="AO19" i="5"/>
  <c r="AO26" i="5" s="1"/>
  <c r="AP19" i="5"/>
  <c r="AP26" i="5" s="1"/>
  <c r="AQ19" i="5"/>
  <c r="AQ26" i="5" s="1"/>
  <c r="AR19" i="5"/>
  <c r="AS19" i="5"/>
  <c r="AS26" i="5" s="1"/>
  <c r="AT19" i="5"/>
  <c r="AT26" i="5" s="1"/>
  <c r="AU19" i="5"/>
  <c r="AU26" i="5" s="1"/>
  <c r="AV19" i="5"/>
  <c r="AW19" i="5"/>
  <c r="AW26" i="5" s="1"/>
  <c r="AX19" i="5"/>
  <c r="AY19" i="5"/>
  <c r="AY26" i="5" s="1"/>
  <c r="AZ19" i="5"/>
  <c r="BA19" i="5"/>
  <c r="BA26" i="5" s="1"/>
  <c r="BB19" i="5"/>
  <c r="BB26" i="5" s="1"/>
  <c r="BC19" i="5"/>
  <c r="BC26" i="5" s="1"/>
  <c r="BD19" i="5"/>
  <c r="BE19" i="5"/>
  <c r="BE26" i="5" s="1"/>
  <c r="BF19" i="5"/>
  <c r="BF26" i="5" s="1"/>
  <c r="BG19" i="5"/>
  <c r="BH19" i="5"/>
  <c r="BI19" i="5"/>
  <c r="BI26" i="5" s="1"/>
  <c r="B19" i="5"/>
  <c r="B26" i="5" s="1"/>
  <c r="C17" i="5"/>
  <c r="C24" i="5" s="1"/>
  <c r="C28" i="5" s="1"/>
  <c r="C16" i="15" s="1"/>
  <c r="D17" i="5"/>
  <c r="E17" i="5"/>
  <c r="E24" i="5" s="1"/>
  <c r="F17" i="5"/>
  <c r="F24" i="5" s="1"/>
  <c r="F28" i="5" s="1"/>
  <c r="F16" i="15" s="1"/>
  <c r="G17" i="5"/>
  <c r="G24" i="5" s="1"/>
  <c r="G28" i="5" s="1"/>
  <c r="G16" i="15" s="1"/>
  <c r="H17" i="5"/>
  <c r="I17" i="5"/>
  <c r="I24" i="5" s="1"/>
  <c r="J17" i="5"/>
  <c r="K17" i="5"/>
  <c r="L17" i="5"/>
  <c r="M17" i="5"/>
  <c r="M24" i="5" s="1"/>
  <c r="N17" i="5"/>
  <c r="O17" i="5"/>
  <c r="O24" i="5" s="1"/>
  <c r="P17" i="5"/>
  <c r="Q17" i="5"/>
  <c r="Q24" i="5" s="1"/>
  <c r="R17" i="5"/>
  <c r="R24" i="5" s="1"/>
  <c r="R28" i="5" s="1"/>
  <c r="R16" i="15" s="1"/>
  <c r="S17" i="5"/>
  <c r="S24" i="5" s="1"/>
  <c r="T17" i="5"/>
  <c r="U17" i="5"/>
  <c r="U24" i="5" s="1"/>
  <c r="V17" i="5"/>
  <c r="V24" i="5" s="1"/>
  <c r="V28" i="5" s="1"/>
  <c r="V16" i="15" s="1"/>
  <c r="W17" i="5"/>
  <c r="W24" i="5" s="1"/>
  <c r="X17" i="5"/>
  <c r="Y17" i="5"/>
  <c r="Z17" i="5"/>
  <c r="Z24" i="5" s="1"/>
  <c r="Z28" i="5" s="1"/>
  <c r="Z16" i="15" s="1"/>
  <c r="AA17" i="5"/>
  <c r="AA24" i="5" s="1"/>
  <c r="AA28" i="5" s="1"/>
  <c r="AA16" i="15" s="1"/>
  <c r="AB17" i="5"/>
  <c r="AC17" i="5"/>
  <c r="AC24" i="5" s="1"/>
  <c r="AD17" i="5"/>
  <c r="AD24" i="5" s="1"/>
  <c r="AE17" i="5"/>
  <c r="AE24" i="5" s="1"/>
  <c r="AE28" i="5" s="1"/>
  <c r="AE16" i="15" s="1"/>
  <c r="AF17" i="5"/>
  <c r="AG17" i="5"/>
  <c r="AG24" i="5" s="1"/>
  <c r="AH17" i="5"/>
  <c r="AH24" i="5" s="1"/>
  <c r="AH28" i="5" s="1"/>
  <c r="AH16" i="15" s="1"/>
  <c r="AI17" i="5"/>
  <c r="AI24" i="5" s="1"/>
  <c r="AJ17" i="5"/>
  <c r="AK17" i="5"/>
  <c r="AK24" i="5" s="1"/>
  <c r="AL17" i="5"/>
  <c r="AL24" i="5" s="1"/>
  <c r="AL28" i="5" s="1"/>
  <c r="AL16" i="15" s="1"/>
  <c r="AM17" i="5"/>
  <c r="AM24" i="5" s="1"/>
  <c r="AM28" i="5" s="1"/>
  <c r="AM16" i="15" s="1"/>
  <c r="AN17" i="5"/>
  <c r="AO17" i="5"/>
  <c r="AO24" i="5" s="1"/>
  <c r="AP17" i="5"/>
  <c r="AQ17" i="5"/>
  <c r="AQ24" i="5" s="1"/>
  <c r="AR17" i="5"/>
  <c r="AS17" i="5"/>
  <c r="AS24" i="5" s="1"/>
  <c r="AT17" i="5"/>
  <c r="AT24" i="5" s="1"/>
  <c r="AT28" i="5" s="1"/>
  <c r="AT16" i="15" s="1"/>
  <c r="AU17" i="5"/>
  <c r="AU24" i="5" s="1"/>
  <c r="AV17" i="5"/>
  <c r="AW17" i="5"/>
  <c r="AW24" i="5" s="1"/>
  <c r="AX17" i="5"/>
  <c r="AX24" i="5" s="1"/>
  <c r="AX28" i="5" s="1"/>
  <c r="AX16" i="15" s="1"/>
  <c r="AY17" i="5"/>
  <c r="AY24" i="5" s="1"/>
  <c r="AZ17" i="5"/>
  <c r="BA17" i="5"/>
  <c r="BB17" i="5"/>
  <c r="BB24" i="5" s="1"/>
  <c r="BC17" i="5"/>
  <c r="BC24" i="5" s="1"/>
  <c r="BD17" i="5"/>
  <c r="BE17" i="5"/>
  <c r="BF17" i="5"/>
  <c r="BG17" i="5"/>
  <c r="BH17" i="5"/>
  <c r="BI17" i="5"/>
  <c r="B17" i="5"/>
  <c r="B24" i="5" s="1"/>
  <c r="F24" i="9"/>
  <c r="E24" i="9"/>
  <c r="D24" i="9"/>
  <c r="C24" i="9"/>
  <c r="B24" i="9"/>
  <c r="C16" i="9"/>
  <c r="C15" i="15" s="1"/>
  <c r="C23" i="5"/>
  <c r="D16" i="9"/>
  <c r="D15" i="15" s="1"/>
  <c r="D26" i="5"/>
  <c r="D24" i="5"/>
  <c r="D23" i="5"/>
  <c r="D28" i="5" s="1"/>
  <c r="D16" i="15" s="1"/>
  <c r="E23" i="5"/>
  <c r="F16" i="9"/>
  <c r="F15" i="15" s="1"/>
  <c r="F26" i="5"/>
  <c r="F23" i="5"/>
  <c r="G16" i="9"/>
  <c r="G15" i="15" s="1"/>
  <c r="G23" i="5"/>
  <c r="H16" i="9"/>
  <c r="H15" i="15" s="1"/>
  <c r="H26" i="5"/>
  <c r="H24" i="5"/>
  <c r="H23" i="5"/>
  <c r="H28" i="5" s="1"/>
  <c r="H16" i="15" s="1"/>
  <c r="I23" i="5"/>
  <c r="J16" i="9"/>
  <c r="J15" i="15" s="1"/>
  <c r="J26" i="5"/>
  <c r="J24" i="5"/>
  <c r="J23" i="5"/>
  <c r="K16" i="9"/>
  <c r="K15" i="15" s="1"/>
  <c r="K24" i="5"/>
  <c r="K23" i="5"/>
  <c r="L26" i="5"/>
  <c r="L24" i="5"/>
  <c r="L28" i="5" s="1"/>
  <c r="L16" i="15" s="1"/>
  <c r="L23" i="5"/>
  <c r="M23" i="5"/>
  <c r="M28" i="5"/>
  <c r="M16" i="15" s="1"/>
  <c r="N16" i="9"/>
  <c r="N15" i="15" s="1"/>
  <c r="N24" i="5"/>
  <c r="N23" i="5"/>
  <c r="N28" i="5" s="1"/>
  <c r="N16" i="15" s="1"/>
  <c r="O16" i="9"/>
  <c r="O15" i="15" s="1"/>
  <c r="O26" i="5"/>
  <c r="O23" i="5"/>
  <c r="P26" i="5"/>
  <c r="P24" i="5"/>
  <c r="P23" i="5"/>
  <c r="Q23" i="5"/>
  <c r="R16" i="9"/>
  <c r="R15" i="15" s="1"/>
  <c r="R26" i="5"/>
  <c r="R23" i="5"/>
  <c r="S16" i="9"/>
  <c r="S15" i="15" s="1"/>
  <c r="S23" i="5"/>
  <c r="T26" i="5"/>
  <c r="T24" i="5"/>
  <c r="T23" i="5"/>
  <c r="U23" i="5"/>
  <c r="V23" i="5"/>
  <c r="W16" i="9"/>
  <c r="W15" i="15" s="1"/>
  <c r="W23" i="5"/>
  <c r="X26" i="5"/>
  <c r="X24" i="5"/>
  <c r="X23" i="5"/>
  <c r="Y24" i="5"/>
  <c r="Y23" i="5"/>
  <c r="Z16" i="9"/>
  <c r="Z15" i="15" s="1"/>
  <c r="Z23" i="5"/>
  <c r="D33" i="5" s="1"/>
  <c r="AA16" i="9"/>
  <c r="AA15" i="15" s="1"/>
  <c r="AA26" i="5"/>
  <c r="AA23" i="5"/>
  <c r="AB26" i="5"/>
  <c r="AB24" i="5"/>
  <c r="AB23" i="5"/>
  <c r="AC23" i="5"/>
  <c r="AD16" i="9"/>
  <c r="AD15" i="15" s="1"/>
  <c r="AD23" i="5"/>
  <c r="AE16" i="9"/>
  <c r="AE15" i="15" s="1"/>
  <c r="AE23" i="5"/>
  <c r="AF26" i="5"/>
  <c r="AF24" i="5"/>
  <c r="AF23" i="5"/>
  <c r="AF28" i="5"/>
  <c r="AF16" i="15" s="1"/>
  <c r="AG23" i="5"/>
  <c r="AH16" i="9"/>
  <c r="AH15" i="15" s="1"/>
  <c r="AH26" i="5"/>
  <c r="AH23" i="5"/>
  <c r="AI16" i="9"/>
  <c r="AI15" i="15" s="1"/>
  <c r="AI23" i="5"/>
  <c r="AJ26" i="5"/>
  <c r="AJ28" i="5" s="1"/>
  <c r="AJ16" i="15" s="1"/>
  <c r="AJ24" i="5"/>
  <c r="AJ23" i="5"/>
  <c r="AK23" i="5"/>
  <c r="AL16" i="9"/>
  <c r="AL15" i="15" s="1"/>
  <c r="AL26" i="5"/>
  <c r="AL23" i="5"/>
  <c r="AM16" i="9"/>
  <c r="AM15" i="15" s="1"/>
  <c r="AM23" i="5"/>
  <c r="AN26" i="5"/>
  <c r="AN24" i="5"/>
  <c r="AN23" i="5"/>
  <c r="AN28" i="5"/>
  <c r="AN16" i="15" s="1"/>
  <c r="AO23" i="5"/>
  <c r="AP24" i="5"/>
  <c r="AP23" i="5"/>
  <c r="AQ16" i="9"/>
  <c r="AQ15" i="15" s="1"/>
  <c r="AQ23" i="5"/>
  <c r="AR16" i="9"/>
  <c r="AR15" i="15" s="1"/>
  <c r="AR26" i="5"/>
  <c r="AR24" i="5"/>
  <c r="AR23" i="5"/>
  <c r="AS23" i="5"/>
  <c r="AT16" i="9"/>
  <c r="AT15" i="15" s="1"/>
  <c r="AT23" i="5"/>
  <c r="AU16" i="9"/>
  <c r="AU15" i="15" s="1"/>
  <c r="AU23" i="5"/>
  <c r="AV26" i="5"/>
  <c r="AV24" i="5"/>
  <c r="AV23" i="5"/>
  <c r="AV28" i="5"/>
  <c r="AV16" i="15" s="1"/>
  <c r="AW23" i="5"/>
  <c r="AX16" i="9"/>
  <c r="AX15" i="15" s="1"/>
  <c r="AX26" i="5"/>
  <c r="AX23" i="5"/>
  <c r="AY16" i="9"/>
  <c r="AY15" i="15" s="1"/>
  <c r="AY23" i="5"/>
  <c r="AZ26" i="5"/>
  <c r="AZ24" i="5"/>
  <c r="AZ23" i="5"/>
  <c r="BA24" i="5"/>
  <c r="BA23" i="5"/>
  <c r="BA28" i="5" s="1"/>
  <c r="BA16" i="15" s="1"/>
  <c r="BB23" i="5"/>
  <c r="BC16" i="9"/>
  <c r="BC15" i="15" s="1"/>
  <c r="BC23" i="5"/>
  <c r="BD26" i="5"/>
  <c r="BD24" i="5"/>
  <c r="BD23" i="5"/>
  <c r="BE24" i="5"/>
  <c r="BE23" i="5"/>
  <c r="BF16" i="9"/>
  <c r="BF15" i="15" s="1"/>
  <c r="BF24" i="5"/>
  <c r="BF23" i="5"/>
  <c r="BF28" i="5" s="1"/>
  <c r="BF16" i="15" s="1"/>
  <c r="BG16" i="9"/>
  <c r="BG15" i="15" s="1"/>
  <c r="BG26" i="5"/>
  <c r="BG24" i="5"/>
  <c r="BG23" i="5"/>
  <c r="BH26" i="5"/>
  <c r="BH24" i="5"/>
  <c r="BH23" i="5"/>
  <c r="BI24" i="5"/>
  <c r="BI23" i="5"/>
  <c r="F25" i="9"/>
  <c r="E25" i="9"/>
  <c r="D25" i="9"/>
  <c r="C25" i="9"/>
  <c r="B25" i="9"/>
  <c r="F23" i="9"/>
  <c r="F27" i="9"/>
  <c r="F28" i="9"/>
  <c r="F29" i="9"/>
  <c r="F30" i="9"/>
  <c r="F20" i="9"/>
  <c r="C42" i="5"/>
  <c r="C47" i="5" s="1"/>
  <c r="E32" i="5"/>
  <c r="F15" i="6"/>
  <c r="E15" i="6"/>
  <c r="D15" i="6"/>
  <c r="C15" i="6"/>
  <c r="B15" i="6"/>
  <c r="C20" i="9"/>
  <c r="C23" i="9"/>
  <c r="C27" i="9"/>
  <c r="C28" i="9"/>
  <c r="C29" i="9"/>
  <c r="C30" i="9"/>
  <c r="D20" i="9"/>
  <c r="D23" i="9"/>
  <c r="D27" i="9"/>
  <c r="D28" i="9"/>
  <c r="D29" i="9"/>
  <c r="D30" i="9"/>
  <c r="E20" i="9"/>
  <c r="E23" i="9"/>
  <c r="E27" i="9"/>
  <c r="E28" i="9"/>
  <c r="E29" i="9"/>
  <c r="E30" i="9"/>
  <c r="B20" i="9"/>
  <c r="B23" i="9"/>
  <c r="B27" i="9"/>
  <c r="B28" i="9"/>
  <c r="B29" i="9"/>
  <c r="B30" i="9"/>
  <c r="A2" i="6"/>
  <c r="A2" i="9"/>
  <c r="A3" i="5"/>
  <c r="A2" i="5"/>
  <c r="A2" i="8"/>
  <c r="A2" i="15"/>
  <c r="A2" i="1"/>
  <c r="A2" i="7"/>
  <c r="E44" i="1" l="1"/>
  <c r="E47" i="1"/>
  <c r="K28" i="5"/>
  <c r="K16" i="15" s="1"/>
  <c r="W28" i="5"/>
  <c r="W16" i="15" s="1"/>
  <c r="B34" i="5"/>
  <c r="B28" i="5"/>
  <c r="B16" i="15" s="1"/>
  <c r="AQ28" i="5"/>
  <c r="AQ16" i="15" s="1"/>
  <c r="BG28" i="5"/>
  <c r="BG16" i="15" s="1"/>
  <c r="AR28" i="5"/>
  <c r="AR16" i="15" s="1"/>
  <c r="P28" i="5"/>
  <c r="P16" i="15" s="1"/>
  <c r="J10" i="8"/>
  <c r="J14" i="15" s="1"/>
  <c r="F10" i="8"/>
  <c r="F14" i="15" s="1"/>
  <c r="B11" i="6"/>
  <c r="B13" i="15" s="1"/>
  <c r="B17" i="6"/>
  <c r="F17" i="6"/>
  <c r="E17" i="6"/>
  <c r="D17" i="6"/>
  <c r="C17" i="6"/>
  <c r="AX9" i="7"/>
  <c r="F17" i="7"/>
  <c r="O7" i="7"/>
  <c r="N8" i="6"/>
  <c r="N7" i="15"/>
  <c r="AZ7" i="7"/>
  <c r="AY7" i="15"/>
  <c r="F37" i="5"/>
  <c r="O8" i="7"/>
  <c r="N8" i="15"/>
  <c r="C37" i="5"/>
  <c r="D36" i="5"/>
  <c r="AX8" i="7"/>
  <c r="F16" i="7"/>
  <c r="AL9" i="7"/>
  <c r="E17" i="7"/>
  <c r="C8" i="7"/>
  <c r="B8" i="15"/>
  <c r="O9" i="7"/>
  <c r="N9" i="15"/>
  <c r="E37" i="5"/>
  <c r="D27" i="5"/>
  <c r="E13" i="5"/>
  <c r="AB9" i="7"/>
  <c r="AA9" i="15"/>
  <c r="M5" i="8"/>
  <c r="M7" i="8"/>
  <c r="M8" i="8"/>
  <c r="M6" i="8"/>
  <c r="BB28" i="5"/>
  <c r="BB16" i="15" s="1"/>
  <c r="F34" i="5"/>
  <c r="S28" i="5"/>
  <c r="S16" i="15" s="1"/>
  <c r="AN7" i="7"/>
  <c r="AM7" i="15"/>
  <c r="AA7" i="7"/>
  <c r="Z7" i="15"/>
  <c r="Z8" i="6"/>
  <c r="BD28" i="5"/>
  <c r="BD16" i="15" s="1"/>
  <c r="T28" i="5"/>
  <c r="T16" i="15" s="1"/>
  <c r="O28" i="5"/>
  <c r="O16" i="15" s="1"/>
  <c r="D34" i="5"/>
  <c r="C34" i="5"/>
  <c r="F36" i="5"/>
  <c r="B36" i="5"/>
  <c r="K10" i="8"/>
  <c r="K14" i="15" s="1"/>
  <c r="G10" i="8"/>
  <c r="G14" i="15" s="1"/>
  <c r="C10" i="8"/>
  <c r="C14" i="15" s="1"/>
  <c r="B16" i="8"/>
  <c r="B8" i="6"/>
  <c r="D37" i="5"/>
  <c r="E16" i="7"/>
  <c r="AL8" i="7"/>
  <c r="AA8" i="7"/>
  <c r="Z8" i="15"/>
  <c r="B9" i="15"/>
  <c r="C9" i="7"/>
  <c r="E7" i="7"/>
  <c r="D7" i="15"/>
  <c r="E33" i="5"/>
  <c r="J28" i="5"/>
  <c r="J16" i="15" s="1"/>
  <c r="BI28" i="5"/>
  <c r="BI16" i="15" s="1"/>
  <c r="F33" i="5"/>
  <c r="AO28" i="5"/>
  <c r="AO16" i="15" s="1"/>
  <c r="BE28" i="5"/>
  <c r="BE16" i="15" s="1"/>
  <c r="AW28" i="5"/>
  <c r="AW16" i="15" s="1"/>
  <c r="AK28" i="5"/>
  <c r="AK16" i="15" s="1"/>
  <c r="AG28" i="5"/>
  <c r="AG16" i="15" s="1"/>
  <c r="Y28" i="5"/>
  <c r="Y16" i="15" s="1"/>
  <c r="B33" i="5"/>
  <c r="E48" i="1"/>
  <c r="E52" i="1" s="1"/>
  <c r="E18" i="7" s="1"/>
  <c r="E13" i="7"/>
  <c r="AL5" i="7"/>
  <c r="AL5" i="15" s="1"/>
  <c r="M16" i="9"/>
  <c r="M15" i="15" s="1"/>
  <c r="AJ16" i="9"/>
  <c r="AJ15" i="15" s="1"/>
  <c r="AV16" i="9"/>
  <c r="AV15" i="15" s="1"/>
  <c r="AN16" i="9"/>
  <c r="AN15" i="15" s="1"/>
  <c r="Q16" i="9"/>
  <c r="Q15" i="15" s="1"/>
  <c r="B22" i="9"/>
  <c r="F26" i="9"/>
  <c r="BH16" i="9"/>
  <c r="BH15" i="15" s="1"/>
  <c r="AZ16" i="9"/>
  <c r="AZ15" i="15" s="1"/>
  <c r="C22" i="9"/>
  <c r="C31" i="9" s="1"/>
  <c r="AS16" i="9"/>
  <c r="AS15" i="15" s="1"/>
  <c r="I16" i="9"/>
  <c r="I15" i="15" s="1"/>
  <c r="D26" i="9"/>
  <c r="BD16" i="9"/>
  <c r="BD15" i="15" s="1"/>
  <c r="AF16" i="9"/>
  <c r="AF15" i="15" s="1"/>
  <c r="T16" i="9"/>
  <c r="T15" i="15" s="1"/>
  <c r="L16" i="9"/>
  <c r="L15" i="15" s="1"/>
  <c r="BE16" i="9"/>
  <c r="BE15" i="15" s="1"/>
  <c r="AW16" i="9"/>
  <c r="AW15" i="15" s="1"/>
  <c r="D22" i="9"/>
  <c r="D31" i="9" s="1"/>
  <c r="E16" i="9"/>
  <c r="E15" i="15" s="1"/>
  <c r="P16" i="9"/>
  <c r="P15" i="15" s="1"/>
  <c r="B14" i="15"/>
  <c r="E26" i="9"/>
  <c r="C26" i="9"/>
  <c r="BI16" i="9"/>
  <c r="BI15" i="15" s="1"/>
  <c r="BA16" i="9"/>
  <c r="BA15" i="15" s="1"/>
  <c r="E22" i="9"/>
  <c r="E31" i="9" s="1"/>
  <c r="Y16" i="9"/>
  <c r="Y15" i="15" s="1"/>
  <c r="B31" i="9"/>
  <c r="AC16" i="9"/>
  <c r="AC15" i="15" s="1"/>
  <c r="BH28" i="5"/>
  <c r="BH16" i="15" s="1"/>
  <c r="C33" i="5"/>
  <c r="E28" i="5"/>
  <c r="D42" i="5"/>
  <c r="D47" i="5" s="1"/>
  <c r="AB28" i="5"/>
  <c r="AB16" i="15" s="1"/>
  <c r="D32" i="5"/>
  <c r="D38" i="5" s="1"/>
  <c r="BC28" i="5"/>
  <c r="BC16" i="15" s="1"/>
  <c r="AY28" i="5"/>
  <c r="AY16" i="15" s="1"/>
  <c r="F32" i="5"/>
  <c r="AP28" i="5"/>
  <c r="AP16" i="15" s="1"/>
  <c r="E34" i="5"/>
  <c r="X28" i="5"/>
  <c r="X16" i="15" s="1"/>
  <c r="U28" i="5"/>
  <c r="U16" i="15" s="1"/>
  <c r="I28" i="5"/>
  <c r="I16" i="15" s="1"/>
  <c r="E36" i="5"/>
  <c r="AZ28" i="5"/>
  <c r="AZ16" i="15" s="1"/>
  <c r="AU28" i="5"/>
  <c r="AU16" i="15" s="1"/>
  <c r="AS28" i="5"/>
  <c r="AS16" i="15" s="1"/>
  <c r="AI28" i="5"/>
  <c r="AI16" i="15" s="1"/>
  <c r="AD28" i="5"/>
  <c r="AD16" i="15" s="1"/>
  <c r="AC28" i="5"/>
  <c r="AC16" i="15" s="1"/>
  <c r="Q28" i="5"/>
  <c r="Q16" i="15" s="1"/>
  <c r="C36" i="5"/>
  <c r="C32" i="5"/>
  <c r="B32" i="5"/>
  <c r="B38" i="5" s="1"/>
  <c r="F22" i="9"/>
  <c r="AO16" i="9"/>
  <c r="AO15" i="15" s="1"/>
  <c r="AK16" i="9"/>
  <c r="AK15" i="15" s="1"/>
  <c r="AG16" i="9"/>
  <c r="AG15" i="15" s="1"/>
  <c r="D44" i="1"/>
  <c r="D47" i="1"/>
  <c r="C47" i="1"/>
  <c r="C44" i="1"/>
  <c r="B47" i="1"/>
  <c r="F44" i="1"/>
  <c r="F47" i="1"/>
  <c r="AB7" i="7" l="1"/>
  <c r="AA7" i="15"/>
  <c r="AA8" i="6"/>
  <c r="AA11" i="6" s="1"/>
  <c r="AA13" i="15" s="1"/>
  <c r="AO7" i="7"/>
  <c r="AN7" i="15"/>
  <c r="Y7" i="8"/>
  <c r="AW7" i="8"/>
  <c r="E15" i="8" s="1"/>
  <c r="B15" i="8"/>
  <c r="AK7" i="8"/>
  <c r="D15" i="8" s="1"/>
  <c r="AC9" i="7"/>
  <c r="AB9" i="15"/>
  <c r="AY8" i="7"/>
  <c r="AX8" i="15"/>
  <c r="AX8" i="6"/>
  <c r="AY9" i="7"/>
  <c r="AX9" i="15"/>
  <c r="D9" i="7"/>
  <c r="C9" i="15"/>
  <c r="AK5" i="8"/>
  <c r="M10" i="8"/>
  <c r="M14" i="15" s="1"/>
  <c r="Y5" i="8"/>
  <c r="B13" i="8"/>
  <c r="AW5" i="8"/>
  <c r="E27" i="5"/>
  <c r="F13" i="5"/>
  <c r="P9" i="7"/>
  <c r="O9" i="15"/>
  <c r="AM9" i="7"/>
  <c r="AL9" i="15"/>
  <c r="N11" i="6"/>
  <c r="N13" i="15" s="1"/>
  <c r="AM8" i="7"/>
  <c r="AL8" i="15"/>
  <c r="AL8" i="6"/>
  <c r="AK8" i="8"/>
  <c r="D16" i="8" s="1"/>
  <c r="Y8" i="8"/>
  <c r="AW8" i="8"/>
  <c r="E16" i="8" s="1"/>
  <c r="C8" i="6"/>
  <c r="C11" i="6" s="1"/>
  <c r="C13" i="15" s="1"/>
  <c r="D8" i="7"/>
  <c r="C8" i="15"/>
  <c r="E38" i="5"/>
  <c r="AB8" i="7"/>
  <c r="AA8" i="15"/>
  <c r="Z11" i="6"/>
  <c r="Z13" i="15" s="1"/>
  <c r="AK6" i="8"/>
  <c r="D14" i="8" s="1"/>
  <c r="B14" i="8"/>
  <c r="AW6" i="8"/>
  <c r="E14" i="8" s="1"/>
  <c r="Y6" i="8"/>
  <c r="P8" i="7"/>
  <c r="O8" i="15"/>
  <c r="BA7" i="7"/>
  <c r="AZ7" i="15"/>
  <c r="P7" i="7"/>
  <c r="O8" i="6"/>
  <c r="O11" i="6" s="1"/>
  <c r="O13" i="15" s="1"/>
  <c r="O7" i="15"/>
  <c r="F7" i="7"/>
  <c r="E7" i="15"/>
  <c r="F38" i="5"/>
  <c r="C38" i="5"/>
  <c r="E16" i="15"/>
  <c r="B36" i="15" s="1"/>
  <c r="F13" i="7"/>
  <c r="AX5" i="7"/>
  <c r="AX5" i="15" s="1"/>
  <c r="AM5" i="7"/>
  <c r="AM5" i="15" s="1"/>
  <c r="AL6" i="7"/>
  <c r="E14" i="7"/>
  <c r="D48" i="1"/>
  <c r="D52" i="1" s="1"/>
  <c r="D18" i="7" s="1"/>
  <c r="Z5" i="7"/>
  <c r="Z5" i="15" s="1"/>
  <c r="D13" i="7"/>
  <c r="C48" i="1"/>
  <c r="C52" i="1" s="1"/>
  <c r="C18" i="7" s="1"/>
  <c r="C13" i="7"/>
  <c r="N5" i="7"/>
  <c r="N5" i="15" s="1"/>
  <c r="B48" i="1"/>
  <c r="B5" i="7"/>
  <c r="B13" i="7"/>
  <c r="B35" i="15"/>
  <c r="E35" i="15"/>
  <c r="F31" i="9"/>
  <c r="C35" i="15"/>
  <c r="D35" i="15"/>
  <c r="F36" i="15"/>
  <c r="F35" i="15"/>
  <c r="C36" i="15"/>
  <c r="E36" i="15"/>
  <c r="D36" i="15"/>
  <c r="B34" i="15"/>
  <c r="E42" i="5"/>
  <c r="E47" i="5" s="1"/>
  <c r="F48" i="1"/>
  <c r="BI8" i="8" l="1"/>
  <c r="F16" i="8" s="1"/>
  <c r="C16" i="8"/>
  <c r="AN8" i="7"/>
  <c r="AM8" i="15"/>
  <c r="AM8" i="6"/>
  <c r="AM11" i="6" s="1"/>
  <c r="AM13" i="15" s="1"/>
  <c r="G13" i="5"/>
  <c r="F27" i="5"/>
  <c r="AZ9" i="7"/>
  <c r="AY9" i="15"/>
  <c r="Q8" i="7"/>
  <c r="P8" i="15"/>
  <c r="D8" i="6"/>
  <c r="D11" i="6" s="1"/>
  <c r="D13" i="15" s="1"/>
  <c r="E8" i="7"/>
  <c r="D8" i="15"/>
  <c r="AN9" i="7"/>
  <c r="AM9" i="15"/>
  <c r="AC7" i="7"/>
  <c r="AB7" i="15"/>
  <c r="AB8" i="6"/>
  <c r="AL10" i="7"/>
  <c r="AL6" i="15"/>
  <c r="AL10" i="15" s="1"/>
  <c r="AC8" i="7"/>
  <c r="AB8" i="15"/>
  <c r="AL11" i="6"/>
  <c r="AL13" i="15" s="1"/>
  <c r="AW10" i="8"/>
  <c r="AW14" i="15" s="1"/>
  <c r="E34" i="15" s="1"/>
  <c r="E13" i="8"/>
  <c r="D13" i="8"/>
  <c r="D18" i="8" s="1"/>
  <c r="AK10" i="8"/>
  <c r="AK14" i="15" s="1"/>
  <c r="D34" i="15" s="1"/>
  <c r="E9" i="7"/>
  <c r="D9" i="15"/>
  <c r="AX11" i="6"/>
  <c r="AX13" i="15" s="1"/>
  <c r="E18" i="8"/>
  <c r="AP7" i="7"/>
  <c r="AO7" i="15"/>
  <c r="B52" i="1"/>
  <c r="B18" i="7" s="1"/>
  <c r="B6" i="7"/>
  <c r="Q7" i="7"/>
  <c r="P8" i="6"/>
  <c r="P11" i="6" s="1"/>
  <c r="P13" i="15" s="1"/>
  <c r="P7" i="15"/>
  <c r="BI5" i="8"/>
  <c r="C13" i="8"/>
  <c r="Y10" i="8"/>
  <c r="Y14" i="15" s="1"/>
  <c r="C34" i="15" s="1"/>
  <c r="AZ8" i="7"/>
  <c r="AY8" i="15"/>
  <c r="AY8" i="6"/>
  <c r="AY11" i="6" s="1"/>
  <c r="AY13" i="15" s="1"/>
  <c r="BB7" i="7"/>
  <c r="BA7" i="15"/>
  <c r="BI6" i="8"/>
  <c r="F14" i="8" s="1"/>
  <c r="C14" i="8"/>
  <c r="Q9" i="7"/>
  <c r="P9" i="15"/>
  <c r="B18" i="8"/>
  <c r="AD9" i="7"/>
  <c r="AC9" i="15"/>
  <c r="BI7" i="8"/>
  <c r="F15" i="8" s="1"/>
  <c r="C15" i="8"/>
  <c r="G7" i="7"/>
  <c r="F7" i="15"/>
  <c r="F52" i="1"/>
  <c r="F18" i="7" s="1"/>
  <c r="AX6" i="7"/>
  <c r="F14" i="7"/>
  <c r="AY5" i="7"/>
  <c r="AY5" i="15" s="1"/>
  <c r="AM6" i="7"/>
  <c r="AM6" i="15" s="1"/>
  <c r="AM10" i="15" s="1"/>
  <c r="AL11" i="15"/>
  <c r="AL12" i="15" s="1"/>
  <c r="AL17" i="15" s="1"/>
  <c r="AN5" i="7"/>
  <c r="AN5" i="15" s="1"/>
  <c r="AM10" i="7"/>
  <c r="AA5" i="7"/>
  <c r="AA5" i="15" s="1"/>
  <c r="D14" i="7"/>
  <c r="Z6" i="7"/>
  <c r="Z6" i="15" s="1"/>
  <c r="Z10" i="15" s="1"/>
  <c r="O5" i="7"/>
  <c r="O5" i="15" s="1"/>
  <c r="C14" i="7"/>
  <c r="N6" i="7"/>
  <c r="C5" i="7"/>
  <c r="C5" i="15" s="1"/>
  <c r="B5" i="15"/>
  <c r="B14" i="7"/>
  <c r="F42" i="5"/>
  <c r="F47" i="5" s="1"/>
  <c r="Z10" i="7" l="1"/>
  <c r="AX10" i="7"/>
  <c r="AX6" i="15"/>
  <c r="AX10" i="15" s="1"/>
  <c r="BC7" i="7"/>
  <c r="BB7" i="15"/>
  <c r="F13" i="8"/>
  <c r="F18" i="8" s="1"/>
  <c r="BI10" i="8"/>
  <c r="BI14" i="15" s="1"/>
  <c r="F34" i="15" s="1"/>
  <c r="R7" i="7"/>
  <c r="Q8" i="6"/>
  <c r="Q11" i="6" s="1"/>
  <c r="Q13" i="15" s="1"/>
  <c r="Q7" i="15"/>
  <c r="AB11" i="6"/>
  <c r="AB13" i="15" s="1"/>
  <c r="AO9" i="7"/>
  <c r="AN9" i="15"/>
  <c r="H13" i="5"/>
  <c r="G27" i="5"/>
  <c r="AA10" i="15"/>
  <c r="AE9" i="7"/>
  <c r="AD9" i="15"/>
  <c r="BA8" i="7"/>
  <c r="AZ8" i="15"/>
  <c r="AZ8" i="6"/>
  <c r="AQ7" i="7"/>
  <c r="AP7" i="15"/>
  <c r="R9" i="7"/>
  <c r="Q9" i="15"/>
  <c r="F9" i="7"/>
  <c r="E9" i="15"/>
  <c r="AD7" i="7"/>
  <c r="AC7" i="15"/>
  <c r="AC8" i="6"/>
  <c r="AC11" i="6" s="1"/>
  <c r="AC13" i="15" s="1"/>
  <c r="R8" i="7"/>
  <c r="Q8" i="15"/>
  <c r="BA9" i="7"/>
  <c r="AZ9" i="15"/>
  <c r="N10" i="7"/>
  <c r="N6" i="15"/>
  <c r="N10" i="15" s="1"/>
  <c r="C18" i="8"/>
  <c r="AD8" i="7"/>
  <c r="AC8" i="15"/>
  <c r="E8" i="6"/>
  <c r="E11" i="6" s="1"/>
  <c r="E13" i="15" s="1"/>
  <c r="F8" i="7"/>
  <c r="E8" i="15"/>
  <c r="AO8" i="7"/>
  <c r="AN8" i="15"/>
  <c r="AN8" i="6"/>
  <c r="H7" i="7"/>
  <c r="G7" i="15"/>
  <c r="AZ5" i="7"/>
  <c r="AZ5" i="15" s="1"/>
  <c r="AY6" i="7"/>
  <c r="AY6" i="15" s="1"/>
  <c r="AY10" i="15" s="1"/>
  <c r="AO5" i="7"/>
  <c r="AO5" i="15" s="1"/>
  <c r="AN6" i="7"/>
  <c r="AN6" i="15" s="1"/>
  <c r="AN10" i="15" s="1"/>
  <c r="AA6" i="7"/>
  <c r="AA6" i="15" s="1"/>
  <c r="AB5" i="7"/>
  <c r="AB5" i="15" s="1"/>
  <c r="O6" i="7"/>
  <c r="O6" i="15" s="1"/>
  <c r="O10" i="15" s="1"/>
  <c r="P5" i="7"/>
  <c r="P5" i="15" s="1"/>
  <c r="O10" i="7"/>
  <c r="C6" i="7"/>
  <c r="C6" i="15" s="1"/>
  <c r="C10" i="15" s="1"/>
  <c r="B6" i="15"/>
  <c r="B10" i="15"/>
  <c r="B10" i="7"/>
  <c r="D5" i="7"/>
  <c r="D5" i="15" s="1"/>
  <c r="AL19" i="15"/>
  <c r="AL18" i="15"/>
  <c r="AY10" i="7" l="1"/>
  <c r="BB9" i="7"/>
  <c r="BA9" i="15"/>
  <c r="BB8" i="7"/>
  <c r="BA8" i="15"/>
  <c r="BA8" i="6"/>
  <c r="BA11" i="6" s="1"/>
  <c r="BA13" i="15" s="1"/>
  <c r="AP9" i="7"/>
  <c r="AO9" i="15"/>
  <c r="AB10" i="15"/>
  <c r="AN11" i="6"/>
  <c r="AN13" i="15" s="1"/>
  <c r="AE8" i="7"/>
  <c r="AD8" i="15"/>
  <c r="AE7" i="7"/>
  <c r="AD7" i="15"/>
  <c r="AD8" i="6"/>
  <c r="AD11" i="6" s="1"/>
  <c r="AD13" i="15" s="1"/>
  <c r="S9" i="7"/>
  <c r="R9" i="15"/>
  <c r="AR7" i="7"/>
  <c r="AQ7" i="15"/>
  <c r="AP8" i="7"/>
  <c r="AO8" i="15"/>
  <c r="AO8" i="6"/>
  <c r="AO11" i="6" s="1"/>
  <c r="AO13" i="15" s="1"/>
  <c r="G9" i="7"/>
  <c r="F9" i="15"/>
  <c r="BD7" i="7"/>
  <c r="BC7" i="15"/>
  <c r="AA10" i="7"/>
  <c r="G8" i="7"/>
  <c r="F8" i="6"/>
  <c r="F11" i="6" s="1"/>
  <c r="F13" i="15" s="1"/>
  <c r="F8" i="15"/>
  <c r="S8" i="7"/>
  <c r="R8" i="15"/>
  <c r="AZ11" i="6"/>
  <c r="AZ13" i="15" s="1"/>
  <c r="AF9" i="7"/>
  <c r="AE9" i="15"/>
  <c r="I13" i="5"/>
  <c r="H27" i="5"/>
  <c r="S7" i="7"/>
  <c r="R8" i="6"/>
  <c r="R7" i="15"/>
  <c r="I7" i="7"/>
  <c r="H7" i="15"/>
  <c r="BA5" i="7"/>
  <c r="BA5" i="15" s="1"/>
  <c r="AZ6" i="7"/>
  <c r="AZ6" i="15" s="1"/>
  <c r="AZ10" i="15" s="1"/>
  <c r="AY11" i="15"/>
  <c r="AY12" i="15" s="1"/>
  <c r="AY17" i="15" s="1"/>
  <c r="AM11" i="15"/>
  <c r="AN11" i="15"/>
  <c r="AN12" i="15" s="1"/>
  <c r="AN17" i="15" s="1"/>
  <c r="AO6" i="7"/>
  <c r="AO6" i="15" s="1"/>
  <c r="AO10" i="15" s="1"/>
  <c r="AN10" i="7"/>
  <c r="AP5" i="7"/>
  <c r="AP5" i="15" s="1"/>
  <c r="AO10" i="7"/>
  <c r="AB6" i="7"/>
  <c r="AB6" i="15" s="1"/>
  <c r="AC5" i="7"/>
  <c r="AC5" i="15" s="1"/>
  <c r="AB10" i="7"/>
  <c r="AA11" i="15"/>
  <c r="AA12" i="15" s="1"/>
  <c r="AA17" i="15" s="1"/>
  <c r="Q5" i="7"/>
  <c r="Q5" i="15" s="1"/>
  <c r="P6" i="7"/>
  <c r="P6" i="15" s="1"/>
  <c r="P10" i="15" s="1"/>
  <c r="D6" i="7"/>
  <c r="D6" i="15" s="1"/>
  <c r="D10" i="15" s="1"/>
  <c r="C11" i="15"/>
  <c r="C12" i="15" s="1"/>
  <c r="C17" i="15" s="1"/>
  <c r="B11" i="15"/>
  <c r="C10" i="7"/>
  <c r="E5" i="7"/>
  <c r="E5" i="15" s="1"/>
  <c r="AL20" i="15"/>
  <c r="G8" i="15" l="1"/>
  <c r="H8" i="7"/>
  <c r="G8" i="6"/>
  <c r="G11" i="6" s="1"/>
  <c r="G13" i="15" s="1"/>
  <c r="AG9" i="7"/>
  <c r="AF9" i="15"/>
  <c r="T8" i="7"/>
  <c r="S8" i="15"/>
  <c r="AS7" i="7"/>
  <c r="AR7" i="15"/>
  <c r="BE7" i="7"/>
  <c r="BD7" i="15"/>
  <c r="AF7" i="7"/>
  <c r="AE7" i="15"/>
  <c r="AE8" i="6"/>
  <c r="AE11" i="6" s="1"/>
  <c r="AE13" i="15" s="1"/>
  <c r="BC8" i="7"/>
  <c r="BB8" i="15"/>
  <c r="BB8" i="6"/>
  <c r="BB11" i="6" s="1"/>
  <c r="BB13" i="15" s="1"/>
  <c r="T7" i="7"/>
  <c r="S8" i="6"/>
  <c r="S11" i="6" s="1"/>
  <c r="S13" i="15" s="1"/>
  <c r="S7" i="15"/>
  <c r="G9" i="15"/>
  <c r="H9" i="7"/>
  <c r="AQ8" i="7"/>
  <c r="AP8" i="15"/>
  <c r="AP8" i="6"/>
  <c r="AF8" i="7"/>
  <c r="AE8" i="15"/>
  <c r="BC9" i="7"/>
  <c r="BB9" i="15"/>
  <c r="BA10" i="15"/>
  <c r="R11" i="6"/>
  <c r="R13" i="15" s="1"/>
  <c r="J13" i="5"/>
  <c r="I27" i="5"/>
  <c r="T9" i="7"/>
  <c r="S9" i="15"/>
  <c r="AQ9" i="7"/>
  <c r="AP9" i="15"/>
  <c r="J7" i="7"/>
  <c r="I7" i="15"/>
  <c r="D10" i="7"/>
  <c r="AY18" i="15"/>
  <c r="AY19" i="15"/>
  <c r="BB5" i="7"/>
  <c r="BB5" i="15" s="1"/>
  <c r="BA10" i="7"/>
  <c r="BA6" i="7"/>
  <c r="BA6" i="15" s="1"/>
  <c r="AX11" i="15"/>
  <c r="AX12" i="15"/>
  <c r="AZ10" i="7"/>
  <c r="AM12" i="15"/>
  <c r="AQ5" i="7"/>
  <c r="AQ5" i="15" s="1"/>
  <c r="AN19" i="15"/>
  <c r="AN18" i="15"/>
  <c r="AO11" i="15"/>
  <c r="AO12" i="15" s="1"/>
  <c r="AO17" i="15" s="1"/>
  <c r="AP6" i="7"/>
  <c r="AP6" i="15" s="1"/>
  <c r="AP10" i="15" s="1"/>
  <c r="AA19" i="15"/>
  <c r="AA18" i="15"/>
  <c r="AC6" i="7"/>
  <c r="AC6" i="15" s="1"/>
  <c r="AC10" i="15" s="1"/>
  <c r="AD5" i="7"/>
  <c r="AD5" i="15" s="1"/>
  <c r="AC10" i="7"/>
  <c r="Z11" i="15"/>
  <c r="Z12" i="15" s="1"/>
  <c r="Q6" i="7"/>
  <c r="Q6" i="15" s="1"/>
  <c r="Q10" i="15" s="1"/>
  <c r="P10" i="7"/>
  <c r="R5" i="7"/>
  <c r="R5" i="15" s="1"/>
  <c r="N11" i="15"/>
  <c r="N12" i="15"/>
  <c r="O11" i="15"/>
  <c r="O12" i="15" s="1"/>
  <c r="O17" i="15" s="1"/>
  <c r="B12" i="15"/>
  <c r="C18" i="15"/>
  <c r="C19" i="15"/>
  <c r="F5" i="7"/>
  <c r="F5" i="15" s="1"/>
  <c r="E6" i="7"/>
  <c r="E6" i="15" s="1"/>
  <c r="E10" i="15" s="1"/>
  <c r="U9" i="7" l="1"/>
  <c r="T9" i="15"/>
  <c r="AR8" i="7"/>
  <c r="AQ8" i="15"/>
  <c r="AQ8" i="6"/>
  <c r="AQ11" i="6" s="1"/>
  <c r="AQ13" i="15" s="1"/>
  <c r="U8" i="7"/>
  <c r="T8" i="15"/>
  <c r="AP10" i="7"/>
  <c r="AG8" i="7"/>
  <c r="AF8" i="15"/>
  <c r="H9" i="15"/>
  <c r="I9" i="7"/>
  <c r="U7" i="7"/>
  <c r="T8" i="6"/>
  <c r="T11" i="6" s="1"/>
  <c r="T13" i="15" s="1"/>
  <c r="T7" i="15"/>
  <c r="BD8" i="7"/>
  <c r="BC8" i="15"/>
  <c r="BC8" i="6"/>
  <c r="BC11" i="6" s="1"/>
  <c r="BC13" i="15" s="1"/>
  <c r="AG7" i="7"/>
  <c r="AF7" i="15"/>
  <c r="AF8" i="6"/>
  <c r="AF11" i="6" s="1"/>
  <c r="AF13" i="15" s="1"/>
  <c r="BF7" i="7"/>
  <c r="BE7" i="15"/>
  <c r="AP11" i="6"/>
  <c r="AP13" i="15" s="1"/>
  <c r="AT7" i="7"/>
  <c r="AS7" i="15"/>
  <c r="AH9" i="7"/>
  <c r="AG9" i="15"/>
  <c r="K13" i="5"/>
  <c r="J27" i="5"/>
  <c r="H8" i="6"/>
  <c r="H11" i="6" s="1"/>
  <c r="H13" i="15" s="1"/>
  <c r="I8" i="7"/>
  <c r="H8" i="15"/>
  <c r="AR9" i="7"/>
  <c r="AQ9" i="15"/>
  <c r="AN20" i="15"/>
  <c r="BD9" i="7"/>
  <c r="BC9" i="15"/>
  <c r="K7" i="7"/>
  <c r="J7" i="15"/>
  <c r="C20" i="15"/>
  <c r="AY20" i="15"/>
  <c r="AA20" i="15"/>
  <c r="BB6" i="7"/>
  <c r="BB6" i="15" s="1"/>
  <c r="BB10" i="15" s="1"/>
  <c r="BA11" i="15"/>
  <c r="BA12" i="15" s="1"/>
  <c r="BA17" i="15" s="1"/>
  <c r="AX17" i="15"/>
  <c r="BC5" i="7"/>
  <c r="BC5" i="15" s="1"/>
  <c r="AO18" i="15"/>
  <c r="AO19" i="15"/>
  <c r="AM17" i="15"/>
  <c r="AP11" i="15"/>
  <c r="AP12" i="15" s="1"/>
  <c r="AP17" i="15" s="1"/>
  <c r="AR5" i="7"/>
  <c r="AR5" i="15" s="1"/>
  <c r="AQ6" i="7"/>
  <c r="AB11" i="15"/>
  <c r="AB12" i="15" s="1"/>
  <c r="AB17" i="15" s="1"/>
  <c r="Z17" i="15"/>
  <c r="AE5" i="7"/>
  <c r="AE5" i="15" s="1"/>
  <c r="AD6" i="7"/>
  <c r="AD6" i="15" s="1"/>
  <c r="AD10" i="15" s="1"/>
  <c r="R6" i="7"/>
  <c r="R6" i="15" s="1"/>
  <c r="R10" i="15" s="1"/>
  <c r="Q11" i="15"/>
  <c r="Q12" i="15" s="1"/>
  <c r="Q17" i="15" s="1"/>
  <c r="N17" i="15"/>
  <c r="S5" i="7"/>
  <c r="S5" i="15" s="1"/>
  <c r="O18" i="15"/>
  <c r="O19" i="15"/>
  <c r="Q10" i="7"/>
  <c r="F6" i="7"/>
  <c r="F6" i="15" s="1"/>
  <c r="F10" i="15" s="1"/>
  <c r="G5" i="7"/>
  <c r="G5" i="15" s="1"/>
  <c r="B17" i="15"/>
  <c r="E10" i="7"/>
  <c r="R10" i="7" l="1"/>
  <c r="L13" i="5"/>
  <c r="K27" i="5"/>
  <c r="V7" i="7"/>
  <c r="U8" i="6"/>
  <c r="U11" i="6" s="1"/>
  <c r="U13" i="15" s="1"/>
  <c r="U7" i="15"/>
  <c r="AH8" i="7"/>
  <c r="AG8" i="15"/>
  <c r="V9" i="7"/>
  <c r="U9" i="15"/>
  <c r="AI9" i="7"/>
  <c r="AH9" i="15"/>
  <c r="BG7" i="7"/>
  <c r="BF7" i="15"/>
  <c r="I8" i="6"/>
  <c r="I11" i="6" s="1"/>
  <c r="I13" i="15" s="1"/>
  <c r="I8" i="15"/>
  <c r="J8" i="7"/>
  <c r="BE8" i="7"/>
  <c r="BD8" i="15"/>
  <c r="BD8" i="6"/>
  <c r="I9" i="15"/>
  <c r="J9" i="7"/>
  <c r="BE9" i="7"/>
  <c r="BD9" i="15"/>
  <c r="AD10" i="7"/>
  <c r="AQ10" i="7"/>
  <c r="AQ6" i="15"/>
  <c r="AQ10" i="15" s="1"/>
  <c r="AS9" i="7"/>
  <c r="AR9" i="15"/>
  <c r="AU7" i="7"/>
  <c r="AT7" i="15"/>
  <c r="AH7" i="7"/>
  <c r="AG7" i="15"/>
  <c r="AG8" i="6"/>
  <c r="V8" i="7"/>
  <c r="U8" i="15"/>
  <c r="AS8" i="7"/>
  <c r="AR8" i="15"/>
  <c r="AR8" i="6"/>
  <c r="O20" i="15"/>
  <c r="L7" i="7"/>
  <c r="K7" i="15"/>
  <c r="AO20" i="15"/>
  <c r="BA19" i="15"/>
  <c r="BA18" i="15"/>
  <c r="BD5" i="7"/>
  <c r="BD5" i="15" s="1"/>
  <c r="AZ11" i="15"/>
  <c r="BC6" i="7"/>
  <c r="BC6" i="15" s="1"/>
  <c r="BC10" i="15" s="1"/>
  <c r="BB10" i="7"/>
  <c r="AX19" i="15"/>
  <c r="AX18" i="15"/>
  <c r="AP19" i="15"/>
  <c r="AP18" i="15"/>
  <c r="AR6" i="7"/>
  <c r="AR6" i="15" s="1"/>
  <c r="AR10" i="15" s="1"/>
  <c r="AM18" i="15"/>
  <c r="AM19" i="15"/>
  <c r="AQ11" i="15"/>
  <c r="AQ12" i="15" s="1"/>
  <c r="AQ17" i="15" s="1"/>
  <c r="AS5" i="7"/>
  <c r="AS5" i="15" s="1"/>
  <c r="AC11" i="15"/>
  <c r="AF5" i="7"/>
  <c r="AF5" i="15" s="1"/>
  <c r="Z19" i="15"/>
  <c r="Z18" i="15"/>
  <c r="AB18" i="15"/>
  <c r="AB19" i="15"/>
  <c r="AB20" i="15" s="1"/>
  <c r="AE6" i="7"/>
  <c r="AE6" i="15" s="1"/>
  <c r="AE10" i="15" s="1"/>
  <c r="AD11" i="15"/>
  <c r="AD12" i="15" s="1"/>
  <c r="AD17" i="15" s="1"/>
  <c r="Q18" i="15"/>
  <c r="Q19" i="15"/>
  <c r="R11" i="15"/>
  <c r="R12" i="15" s="1"/>
  <c r="R17" i="15" s="1"/>
  <c r="S6" i="7"/>
  <c r="S6" i="15" s="1"/>
  <c r="S10" i="15" s="1"/>
  <c r="T5" i="7"/>
  <c r="T5" i="15" s="1"/>
  <c r="S10" i="7"/>
  <c r="P11" i="15"/>
  <c r="N18" i="15"/>
  <c r="N19" i="15"/>
  <c r="H5" i="7"/>
  <c r="H5" i="15" s="1"/>
  <c r="G10" i="7"/>
  <c r="G6" i="7"/>
  <c r="G6" i="15" s="1"/>
  <c r="G10" i="15" s="1"/>
  <c r="F11" i="15"/>
  <c r="F12" i="15" s="1"/>
  <c r="F17" i="15" s="1"/>
  <c r="B19" i="15"/>
  <c r="B18" i="15"/>
  <c r="E11" i="15"/>
  <c r="E12" i="15" s="1"/>
  <c r="E17" i="15" s="1"/>
  <c r="D11" i="15"/>
  <c r="F10" i="7"/>
  <c r="BH7" i="7" l="1"/>
  <c r="BG7" i="15"/>
  <c r="AG11" i="6"/>
  <c r="AG13" i="15" s="1"/>
  <c r="AT9" i="7"/>
  <c r="AS9" i="15"/>
  <c r="J8" i="6"/>
  <c r="J11" i="6" s="1"/>
  <c r="J13" i="15" s="1"/>
  <c r="K8" i="7"/>
  <c r="J8" i="15"/>
  <c r="W9" i="7"/>
  <c r="V9" i="15"/>
  <c r="AR11" i="6"/>
  <c r="AR13" i="15" s="1"/>
  <c r="J9" i="15"/>
  <c r="K9" i="7"/>
  <c r="BF8" i="7"/>
  <c r="BE8" i="15"/>
  <c r="BE8" i="6"/>
  <c r="BE11" i="6" s="1"/>
  <c r="BE13" i="15" s="1"/>
  <c r="M13" i="5"/>
  <c r="M27" i="5" s="1"/>
  <c r="L27" i="5"/>
  <c r="AT8" i="7"/>
  <c r="AS8" i="15"/>
  <c r="AS8" i="6"/>
  <c r="AS11" i="6" s="1"/>
  <c r="AS13" i="15" s="1"/>
  <c r="BD11" i="6"/>
  <c r="BD13" i="15" s="1"/>
  <c r="AJ9" i="7"/>
  <c r="AI9" i="15"/>
  <c r="W7" i="7"/>
  <c r="V8" i="6"/>
  <c r="V11" i="6" s="1"/>
  <c r="V13" i="15" s="1"/>
  <c r="V7" i="15"/>
  <c r="W8" i="7"/>
  <c r="V8" i="15"/>
  <c r="AR10" i="7"/>
  <c r="AI7" i="7"/>
  <c r="AH7" i="15"/>
  <c r="AH8" i="6"/>
  <c r="AH11" i="6" s="1"/>
  <c r="AH13" i="15" s="1"/>
  <c r="AV7" i="7"/>
  <c r="AU7" i="15"/>
  <c r="BF9" i="7"/>
  <c r="BE9" i="15"/>
  <c r="AI8" i="7"/>
  <c r="AH8" i="15"/>
  <c r="M7" i="7"/>
  <c r="L7" i="15"/>
  <c r="N20" i="15"/>
  <c r="Q20" i="15"/>
  <c r="BA20" i="15"/>
  <c r="AP20" i="15"/>
  <c r="AM20" i="15"/>
  <c r="B20" i="15"/>
  <c r="B22" i="15" s="1"/>
  <c r="C22" i="15" s="1"/>
  <c r="BB11" i="15"/>
  <c r="BB12" i="15" s="1"/>
  <c r="BB17" i="15" s="1"/>
  <c r="BD6" i="7"/>
  <c r="BC10" i="7"/>
  <c r="BE5" i="7"/>
  <c r="BE5" i="15" s="1"/>
  <c r="BC11" i="15"/>
  <c r="BC12" i="15" s="1"/>
  <c r="BC17" i="15" s="1"/>
  <c r="AX20" i="15"/>
  <c r="AZ12" i="15"/>
  <c r="AT5" i="7"/>
  <c r="AT5" i="15" s="1"/>
  <c r="AS6" i="7"/>
  <c r="AS6" i="15" s="1"/>
  <c r="AS10" i="15" s="1"/>
  <c r="AR11" i="15"/>
  <c r="AQ18" i="15"/>
  <c r="AQ19" i="15"/>
  <c r="AD18" i="15"/>
  <c r="AD19" i="15"/>
  <c r="AG5" i="7"/>
  <c r="AG5" i="15" s="1"/>
  <c r="AF6" i="7"/>
  <c r="AF6" i="15" s="1"/>
  <c r="AF10" i="15" s="1"/>
  <c r="Z20" i="15"/>
  <c r="AE10" i="7"/>
  <c r="AC12" i="15"/>
  <c r="R19" i="15"/>
  <c r="R18" i="15"/>
  <c r="U5" i="7"/>
  <c r="U5" i="15" s="1"/>
  <c r="P12" i="15"/>
  <c r="T6" i="7"/>
  <c r="T6" i="15" s="1"/>
  <c r="T10" i="15" s="1"/>
  <c r="F18" i="15"/>
  <c r="F19" i="15"/>
  <c r="H6" i="7"/>
  <c r="H6" i="15" s="1"/>
  <c r="H10" i="15" s="1"/>
  <c r="I5" i="7"/>
  <c r="I5" i="15" s="1"/>
  <c r="E19" i="15"/>
  <c r="E18" i="15"/>
  <c r="D12" i="15"/>
  <c r="BD10" i="7" l="1"/>
  <c r="BD6" i="15"/>
  <c r="BD10" i="15" s="1"/>
  <c r="AK9" i="7"/>
  <c r="AK9" i="15" s="1"/>
  <c r="D29" i="15" s="1"/>
  <c r="AJ9" i="15"/>
  <c r="BG8" i="7"/>
  <c r="BF8" i="15"/>
  <c r="BF8" i="6"/>
  <c r="BF11" i="6" s="1"/>
  <c r="BF13" i="15" s="1"/>
  <c r="AU9" i="7"/>
  <c r="AT9" i="15"/>
  <c r="BG9" i="7"/>
  <c r="BF9" i="15"/>
  <c r="AU8" i="7"/>
  <c r="AT8" i="15"/>
  <c r="AT8" i="6"/>
  <c r="AT11" i="6" s="1"/>
  <c r="AT13" i="15" s="1"/>
  <c r="B37" i="5"/>
  <c r="K9" i="15"/>
  <c r="L9" i="7"/>
  <c r="K8" i="6"/>
  <c r="K11" i="6" s="1"/>
  <c r="K13" i="15" s="1"/>
  <c r="L8" i="7"/>
  <c r="K8" i="15"/>
  <c r="BI7" i="7"/>
  <c r="BH7" i="15"/>
  <c r="X8" i="7"/>
  <c r="W8" i="15"/>
  <c r="X7" i="7"/>
  <c r="W8" i="6"/>
  <c r="W11" i="6" s="1"/>
  <c r="W13" i="15" s="1"/>
  <c r="W7" i="15"/>
  <c r="AJ8" i="7"/>
  <c r="AI8" i="15"/>
  <c r="AJ7" i="7"/>
  <c r="AI7" i="15"/>
  <c r="AI8" i="6"/>
  <c r="AI11" i="6" s="1"/>
  <c r="AI13" i="15" s="1"/>
  <c r="X9" i="7"/>
  <c r="W9" i="15"/>
  <c r="AW7" i="7"/>
  <c r="AV7" i="15"/>
  <c r="M7" i="15"/>
  <c r="F20" i="15"/>
  <c r="AD20" i="15"/>
  <c r="AQ20" i="15"/>
  <c r="R20" i="15"/>
  <c r="E20" i="15"/>
  <c r="BC18" i="15"/>
  <c r="BC19" i="15"/>
  <c r="BF5" i="7"/>
  <c r="BF5" i="15" s="1"/>
  <c r="BE6" i="7"/>
  <c r="BE6" i="15" s="1"/>
  <c r="BE10" i="15" s="1"/>
  <c r="AZ17" i="15"/>
  <c r="BB18" i="15"/>
  <c r="BB19" i="15"/>
  <c r="AR12" i="15"/>
  <c r="AT6" i="7"/>
  <c r="AT6" i="15" s="1"/>
  <c r="AT10" i="15" s="1"/>
  <c r="AS10" i="7"/>
  <c r="AU5" i="7"/>
  <c r="AU5" i="15" s="1"/>
  <c r="AT10" i="7"/>
  <c r="AS11" i="15"/>
  <c r="AS12" i="15" s="1"/>
  <c r="AS17" i="15" s="1"/>
  <c r="AE11" i="15"/>
  <c r="AF11" i="15"/>
  <c r="AF12" i="15" s="1"/>
  <c r="AF17" i="15" s="1"/>
  <c r="AC17" i="15"/>
  <c r="AH5" i="7"/>
  <c r="AH5" i="15" s="1"/>
  <c r="AG6" i="7"/>
  <c r="AG6" i="15" s="1"/>
  <c r="AG10" i="15" s="1"/>
  <c r="AF10" i="7"/>
  <c r="S11" i="15"/>
  <c r="T11" i="15"/>
  <c r="T12" i="15" s="1"/>
  <c r="T17" i="15" s="1"/>
  <c r="U6" i="7"/>
  <c r="P17" i="15"/>
  <c r="T10" i="7"/>
  <c r="V5" i="7"/>
  <c r="V5" i="15" s="1"/>
  <c r="G11" i="15"/>
  <c r="D17" i="15"/>
  <c r="I6" i="7"/>
  <c r="I6" i="15" s="1"/>
  <c r="I10" i="15" s="1"/>
  <c r="H11" i="15"/>
  <c r="H12" i="15" s="1"/>
  <c r="H17" i="15" s="1"/>
  <c r="H10" i="7"/>
  <c r="J5" i="7"/>
  <c r="J5" i="15" s="1"/>
  <c r="BH9" i="7" l="1"/>
  <c r="BG9" i="15"/>
  <c r="U10" i="7"/>
  <c r="U6" i="15"/>
  <c r="U10" i="15" s="1"/>
  <c r="U11" i="15" s="1"/>
  <c r="U12" i="15" s="1"/>
  <c r="U17" i="15" s="1"/>
  <c r="AW7" i="15"/>
  <c r="E27" i="15" s="1"/>
  <c r="BI7" i="15"/>
  <c r="F27" i="15" s="1"/>
  <c r="AG10" i="7"/>
  <c r="Y7" i="7"/>
  <c r="X8" i="6"/>
  <c r="X11" i="6" s="1"/>
  <c r="X13" i="15" s="1"/>
  <c r="X7" i="15"/>
  <c r="AV8" i="7"/>
  <c r="AU8" i="15"/>
  <c r="AU8" i="6"/>
  <c r="AU11" i="6" s="1"/>
  <c r="AU13" i="15" s="1"/>
  <c r="BH8" i="7"/>
  <c r="BG8" i="15"/>
  <c r="BG8" i="6"/>
  <c r="BG11" i="6" s="1"/>
  <c r="BG13" i="15" s="1"/>
  <c r="Y8" i="7"/>
  <c r="Y8" i="15" s="1"/>
  <c r="C28" i="15" s="1"/>
  <c r="X8" i="15"/>
  <c r="AK8" i="7"/>
  <c r="AK8" i="15" s="1"/>
  <c r="D28" i="15" s="1"/>
  <c r="AJ8" i="15"/>
  <c r="M9" i="7"/>
  <c r="M9" i="15" s="1"/>
  <c r="L9" i="15"/>
  <c r="B29" i="15" s="1"/>
  <c r="AH10" i="15"/>
  <c r="Y9" i="7"/>
  <c r="Y9" i="15" s="1"/>
  <c r="C29" i="15" s="1"/>
  <c r="X9" i="15"/>
  <c r="AK7" i="7"/>
  <c r="AJ7" i="15"/>
  <c r="AJ8" i="6"/>
  <c r="AJ11" i="6" s="1"/>
  <c r="AJ13" i="15" s="1"/>
  <c r="L8" i="6"/>
  <c r="M8" i="7"/>
  <c r="L8" i="15"/>
  <c r="AV9" i="7"/>
  <c r="AU9" i="15"/>
  <c r="BC20" i="15"/>
  <c r="B27" i="15"/>
  <c r="BB20" i="15"/>
  <c r="BD11" i="15"/>
  <c r="AZ19" i="15"/>
  <c r="AZ18" i="15"/>
  <c r="BG5" i="7"/>
  <c r="BG5" i="15" s="1"/>
  <c r="BF6" i="7"/>
  <c r="BF6" i="15" s="1"/>
  <c r="BF10" i="15" s="1"/>
  <c r="BE11" i="15"/>
  <c r="BE12" i="15" s="1"/>
  <c r="BE17" i="15" s="1"/>
  <c r="BE10" i="7"/>
  <c r="AV5" i="7"/>
  <c r="AV5" i="15" s="1"/>
  <c r="AS18" i="15"/>
  <c r="AS19" i="15"/>
  <c r="AT11" i="15"/>
  <c r="AT12" i="15" s="1"/>
  <c r="AT17" i="15" s="1"/>
  <c r="AU6" i="7"/>
  <c r="AU6" i="15" s="1"/>
  <c r="AU10" i="15" s="1"/>
  <c r="AR17" i="15"/>
  <c r="AI5" i="7"/>
  <c r="AI5" i="15" s="1"/>
  <c r="AC18" i="15"/>
  <c r="AC19" i="15"/>
  <c r="AF19" i="15"/>
  <c r="AF18" i="15"/>
  <c r="AH6" i="7"/>
  <c r="AH6" i="15" s="1"/>
  <c r="AG11" i="15"/>
  <c r="AE12" i="15"/>
  <c r="T18" i="15"/>
  <c r="T19" i="15"/>
  <c r="P19" i="15"/>
  <c r="P18" i="15"/>
  <c r="V6" i="7"/>
  <c r="V6" i="15" s="1"/>
  <c r="V10" i="15" s="1"/>
  <c r="W5" i="7"/>
  <c r="W5" i="15" s="1"/>
  <c r="S12" i="15"/>
  <c r="H19" i="15"/>
  <c r="H18" i="15"/>
  <c r="I11" i="15"/>
  <c r="I12" i="15" s="1"/>
  <c r="I17" i="15" s="1"/>
  <c r="K5" i="7"/>
  <c r="K5" i="15" s="1"/>
  <c r="D19" i="15"/>
  <c r="D18" i="15"/>
  <c r="J6" i="7"/>
  <c r="I10" i="7"/>
  <c r="G12" i="15"/>
  <c r="AU10" i="7" l="1"/>
  <c r="M8" i="15"/>
  <c r="B28" i="15" s="1"/>
  <c r="M8" i="6"/>
  <c r="M11" i="6" s="1"/>
  <c r="M13" i="15" s="1"/>
  <c r="AK7" i="15"/>
  <c r="D27" i="15" s="1"/>
  <c r="AK8" i="6"/>
  <c r="AW8" i="7"/>
  <c r="AV8" i="15"/>
  <c r="AV8" i="6"/>
  <c r="AV11" i="6" s="1"/>
  <c r="AV13" i="15" s="1"/>
  <c r="L11" i="6"/>
  <c r="L13" i="15" s="1"/>
  <c r="B33" i="15" s="1"/>
  <c r="BI8" i="7"/>
  <c r="BH8" i="15"/>
  <c r="BH8" i="6"/>
  <c r="BH11" i="6" s="1"/>
  <c r="BH13" i="15" s="1"/>
  <c r="Y8" i="6"/>
  <c r="Y7" i="15"/>
  <c r="C27" i="15" s="1"/>
  <c r="AI10" i="15"/>
  <c r="AW9" i="7"/>
  <c r="AW9" i="15" s="1"/>
  <c r="E29" i="15" s="1"/>
  <c r="AV9" i="15"/>
  <c r="BI9" i="7"/>
  <c r="BI9" i="15" s="1"/>
  <c r="BH9" i="15"/>
  <c r="J10" i="7"/>
  <c r="J6" i="15"/>
  <c r="J10" i="15" s="1"/>
  <c r="H20" i="15"/>
  <c r="P20" i="15"/>
  <c r="AF20" i="15"/>
  <c r="D20" i="15"/>
  <c r="D22" i="15" s="1"/>
  <c r="E22" i="15" s="1"/>
  <c r="F22" i="15" s="1"/>
  <c r="T20" i="15"/>
  <c r="AS20" i="15"/>
  <c r="BE19" i="15"/>
  <c r="BE18" i="15"/>
  <c r="BF11" i="15"/>
  <c r="BF12" i="15" s="1"/>
  <c r="BF17" i="15" s="1"/>
  <c r="BH5" i="7"/>
  <c r="BH5" i="15" s="1"/>
  <c r="BG6" i="7"/>
  <c r="BF10" i="7"/>
  <c r="AZ20" i="15"/>
  <c r="BD12" i="15"/>
  <c r="AT18" i="15"/>
  <c r="AT19" i="15"/>
  <c r="AR19" i="15"/>
  <c r="AR18" i="15"/>
  <c r="AU11" i="15"/>
  <c r="AU12" i="15" s="1"/>
  <c r="AV6" i="7"/>
  <c r="AV6" i="15" s="1"/>
  <c r="AV10" i="15" s="1"/>
  <c r="AW5" i="7"/>
  <c r="AW5" i="15" s="1"/>
  <c r="AV10" i="7"/>
  <c r="AG12" i="15"/>
  <c r="AG17" i="15" s="1"/>
  <c r="AE17" i="15"/>
  <c r="AJ5" i="7"/>
  <c r="AJ5" i="15" s="1"/>
  <c r="AI10" i="7"/>
  <c r="AI6" i="7"/>
  <c r="AI6" i="15" s="1"/>
  <c r="AH11" i="15"/>
  <c r="AH12" i="15" s="1"/>
  <c r="AH10" i="7"/>
  <c r="AC20" i="15"/>
  <c r="S17" i="15"/>
  <c r="X5" i="7"/>
  <c r="X5" i="15" s="1"/>
  <c r="V11" i="15"/>
  <c r="V12" i="15" s="1"/>
  <c r="V17" i="15" s="1"/>
  <c r="W6" i="7"/>
  <c r="U19" i="15"/>
  <c r="U18" i="15"/>
  <c r="V10" i="7"/>
  <c r="I18" i="15"/>
  <c r="I19" i="15"/>
  <c r="G17" i="15"/>
  <c r="K6" i="7"/>
  <c r="K6" i="15" s="1"/>
  <c r="K10" i="15" s="1"/>
  <c r="J11" i="15"/>
  <c r="J12" i="15" s="1"/>
  <c r="J17" i="15" s="1"/>
  <c r="L5" i="7"/>
  <c r="L5" i="15" s="1"/>
  <c r="Y11" i="6" l="1"/>
  <c r="Y13" i="15" s="1"/>
  <c r="C33" i="15" s="1"/>
  <c r="C18" i="6"/>
  <c r="C21" i="6" s="1"/>
  <c r="BI8" i="15"/>
  <c r="F28" i="15" s="1"/>
  <c r="BI8" i="6"/>
  <c r="AK11" i="6"/>
  <c r="AK13" i="15" s="1"/>
  <c r="D33" i="15" s="1"/>
  <c r="D18" i="6"/>
  <c r="D21" i="6" s="1"/>
  <c r="W10" i="7"/>
  <c r="W6" i="15"/>
  <c r="W10" i="15" s="1"/>
  <c r="AW10" i="15"/>
  <c r="F29" i="15"/>
  <c r="AW8" i="15"/>
  <c r="E28" i="15" s="1"/>
  <c r="AW8" i="6"/>
  <c r="BG10" i="7"/>
  <c r="BG6" i="15"/>
  <c r="BG10" i="15" s="1"/>
  <c r="B18" i="6"/>
  <c r="B21" i="6" s="1"/>
  <c r="U20" i="15"/>
  <c r="BE20" i="15"/>
  <c r="AT20" i="15"/>
  <c r="AR20" i="15"/>
  <c r="I20" i="15"/>
  <c r="BF19" i="15"/>
  <c r="BF18" i="15"/>
  <c r="BD17" i="15"/>
  <c r="BH6" i="7"/>
  <c r="BH6" i="15" s="1"/>
  <c r="BH10" i="15" s="1"/>
  <c r="BG11" i="15"/>
  <c r="BG12" i="15" s="1"/>
  <c r="BI5" i="7"/>
  <c r="BI5" i="15" s="1"/>
  <c r="AU17" i="15"/>
  <c r="AV11" i="15"/>
  <c r="AV12" i="15" s="1"/>
  <c r="AV17" i="15" s="1"/>
  <c r="E25" i="15"/>
  <c r="AW6" i="7"/>
  <c r="AW6" i="15" s="1"/>
  <c r="AH17" i="15"/>
  <c r="AJ6" i="7"/>
  <c r="AI11" i="15"/>
  <c r="AI12" i="15" s="1"/>
  <c r="AI17" i="15" s="1"/>
  <c r="AK5" i="7"/>
  <c r="AK5" i="15" s="1"/>
  <c r="AE18" i="15"/>
  <c r="AE19" i="15"/>
  <c r="AG18" i="15"/>
  <c r="AG19" i="15"/>
  <c r="V18" i="15"/>
  <c r="V19" i="15"/>
  <c r="S18" i="15"/>
  <c r="S19" i="15"/>
  <c r="X6" i="7"/>
  <c r="X6" i="15" s="1"/>
  <c r="X10" i="15" s="1"/>
  <c r="W11" i="15"/>
  <c r="W12" i="15" s="1"/>
  <c r="Y5" i="7"/>
  <c r="Y5" i="15" s="1"/>
  <c r="L6" i="7"/>
  <c r="L6" i="15" s="1"/>
  <c r="L10" i="15" s="1"/>
  <c r="K11" i="15"/>
  <c r="K12" i="15" s="1"/>
  <c r="K10" i="7"/>
  <c r="J19" i="15"/>
  <c r="J18" i="15"/>
  <c r="G18" i="15"/>
  <c r="G19" i="15"/>
  <c r="M5" i="7"/>
  <c r="M5" i="15" s="1"/>
  <c r="L10" i="7"/>
  <c r="AJ10" i="7" l="1"/>
  <c r="AJ6" i="15"/>
  <c r="AJ10" i="15" s="1"/>
  <c r="AW11" i="6"/>
  <c r="AW13" i="15" s="1"/>
  <c r="E33" i="15" s="1"/>
  <c r="E18" i="6"/>
  <c r="E21" i="6" s="1"/>
  <c r="BH10" i="7"/>
  <c r="BI11" i="6"/>
  <c r="BI13" i="15" s="1"/>
  <c r="F33" i="15" s="1"/>
  <c r="F18" i="6"/>
  <c r="F21" i="6" s="1"/>
  <c r="S20" i="15"/>
  <c r="BF20" i="15"/>
  <c r="G20" i="15"/>
  <c r="AG20" i="15"/>
  <c r="J20" i="15"/>
  <c r="AE20" i="15"/>
  <c r="V20" i="15"/>
  <c r="BG17" i="15"/>
  <c r="BH11" i="15"/>
  <c r="BH12" i="15" s="1"/>
  <c r="BH17" i="15" s="1"/>
  <c r="BI6" i="7"/>
  <c r="BI6" i="15" s="1"/>
  <c r="BI10" i="15" s="1"/>
  <c r="BD18" i="15"/>
  <c r="BD19" i="15"/>
  <c r="AV18" i="15"/>
  <c r="AV19" i="15"/>
  <c r="AU19" i="15"/>
  <c r="AU18" i="15"/>
  <c r="E26" i="15"/>
  <c r="AW10" i="7"/>
  <c r="AI18" i="15"/>
  <c r="AI19" i="15"/>
  <c r="AJ11" i="15"/>
  <c r="AJ12" i="15" s="1"/>
  <c r="AJ17" i="15" s="1"/>
  <c r="AK6" i="7"/>
  <c r="AK10" i="7"/>
  <c r="AH19" i="15"/>
  <c r="AH18" i="15"/>
  <c r="W17" i="15"/>
  <c r="Y6" i="7"/>
  <c r="Y6" i="15" s="1"/>
  <c r="Y10" i="15" s="1"/>
  <c r="X11" i="15"/>
  <c r="X12" i="15" s="1"/>
  <c r="X17" i="15" s="1"/>
  <c r="X10" i="7"/>
  <c r="K17" i="15"/>
  <c r="M6" i="7"/>
  <c r="L11" i="15"/>
  <c r="L12" i="15" s="1"/>
  <c r="L17" i="15" s="1"/>
  <c r="G22" i="15"/>
  <c r="H22" i="15" s="1"/>
  <c r="I22" i="15" s="1"/>
  <c r="Y10" i="7" l="1"/>
  <c r="AK6" i="15"/>
  <c r="AK10" i="15" s="1"/>
  <c r="BI10" i="7"/>
  <c r="M6" i="15"/>
  <c r="M10" i="15" s="1"/>
  <c r="J22" i="15"/>
  <c r="AH20" i="15"/>
  <c r="AV20" i="15"/>
  <c r="BD20" i="15"/>
  <c r="AI20" i="15"/>
  <c r="AU20" i="15"/>
  <c r="BH19" i="15"/>
  <c r="BH18" i="15"/>
  <c r="F25" i="15"/>
  <c r="BG18" i="15"/>
  <c r="BG19" i="15"/>
  <c r="F26" i="15"/>
  <c r="AW11" i="15"/>
  <c r="E30" i="15"/>
  <c r="D25" i="15"/>
  <c r="AJ18" i="15"/>
  <c r="AJ19" i="15"/>
  <c r="X19" i="15"/>
  <c r="X18" i="15"/>
  <c r="C26" i="15"/>
  <c r="C25" i="15"/>
  <c r="W19" i="15"/>
  <c r="W18" i="15"/>
  <c r="W20" i="15" s="1"/>
  <c r="L19" i="15"/>
  <c r="L18" i="15"/>
  <c r="B25" i="15"/>
  <c r="M10" i="7"/>
  <c r="K18" i="15"/>
  <c r="K19" i="15"/>
  <c r="D26" i="15" l="1"/>
  <c r="X20" i="15"/>
  <c r="B26" i="15"/>
  <c r="BH20" i="15"/>
  <c r="L20" i="15"/>
  <c r="BG20" i="15"/>
  <c r="K20" i="15"/>
  <c r="K22" i="15" s="1"/>
  <c r="AJ20" i="15"/>
  <c r="BI11" i="15"/>
  <c r="F30" i="15"/>
  <c r="AW12" i="15"/>
  <c r="E31" i="15"/>
  <c r="AK11" i="15"/>
  <c r="D30" i="15"/>
  <c r="Y11" i="15"/>
  <c r="C30" i="15"/>
  <c r="M11" i="15"/>
  <c r="B30" i="15"/>
  <c r="L22" i="15" l="1"/>
  <c r="BI12" i="15"/>
  <c r="F31" i="15"/>
  <c r="AW17" i="15"/>
  <c r="E32" i="15"/>
  <c r="AK12" i="15"/>
  <c r="D31" i="15"/>
  <c r="Y12" i="15"/>
  <c r="C31" i="15"/>
  <c r="M12" i="15"/>
  <c r="B31" i="15"/>
  <c r="BI17" i="15" l="1"/>
  <c r="F32" i="15"/>
  <c r="AW19" i="15"/>
  <c r="E39" i="15" s="1"/>
  <c r="AW18" i="15"/>
  <c r="E38" i="15" s="1"/>
  <c r="E37" i="15"/>
  <c r="AK17" i="15"/>
  <c r="D32" i="15"/>
  <c r="Y17" i="15"/>
  <c r="C32" i="15"/>
  <c r="M17" i="15"/>
  <c r="B32" i="15"/>
  <c r="AW20" i="15" l="1"/>
  <c r="E40" i="15" s="1"/>
  <c r="BI18" i="15"/>
  <c r="F38" i="15" s="1"/>
  <c r="BI19" i="15"/>
  <c r="F39" i="15" s="1"/>
  <c r="F37" i="15"/>
  <c r="AK19" i="15"/>
  <c r="D39" i="15" s="1"/>
  <c r="AK18" i="15"/>
  <c r="D38" i="15" s="1"/>
  <c r="D37" i="15"/>
  <c r="Y19" i="15"/>
  <c r="C39" i="15" s="1"/>
  <c r="Y18" i="15"/>
  <c r="C38" i="15" s="1"/>
  <c r="C37" i="15"/>
  <c r="M18" i="15"/>
  <c r="B38" i="15" s="1"/>
  <c r="M19" i="15"/>
  <c r="B39" i="15" s="1"/>
  <c r="B37" i="15"/>
  <c r="Y20" i="15" l="1"/>
  <c r="C40" i="15" s="1"/>
  <c r="BI20" i="15"/>
  <c r="F40" i="15" s="1"/>
  <c r="AK20" i="15"/>
  <c r="D40" i="15" s="1"/>
  <c r="M20" i="15"/>
  <c r="B40" i="15" l="1"/>
  <c r="M22" i="15"/>
  <c r="N22" i="15" s="1"/>
  <c r="O22" i="15" s="1"/>
  <c r="P22" i="15" s="1"/>
  <c r="Q22" i="15" s="1"/>
  <c r="R22" i="15" s="1"/>
  <c r="S22" i="15" s="1"/>
  <c r="T22" i="15" s="1"/>
  <c r="U22" i="15" s="1"/>
  <c r="V22" i="15" s="1"/>
  <c r="W22" i="15" s="1"/>
  <c r="X22" i="15" s="1"/>
  <c r="Y22" i="15" s="1"/>
  <c r="Z22" i="15" s="1"/>
  <c r="AA22" i="15" s="1"/>
  <c r="AB22" i="15" s="1"/>
  <c r="AC22" i="15" s="1"/>
  <c r="AD22" i="15" s="1"/>
  <c r="AE22" i="15" s="1"/>
  <c r="AF22" i="15" s="1"/>
  <c r="AG22" i="15" s="1"/>
  <c r="AH22" i="15" s="1"/>
  <c r="AI22" i="15" s="1"/>
  <c r="AJ22" i="15" s="1"/>
  <c r="AK22" i="15" s="1"/>
  <c r="AL22" i="15" s="1"/>
  <c r="AM22" i="15" s="1"/>
  <c r="AN22" i="15" s="1"/>
  <c r="AO22" i="15" s="1"/>
  <c r="AP22" i="15" s="1"/>
  <c r="AQ22" i="15" s="1"/>
  <c r="AR22" i="15" s="1"/>
  <c r="AS22" i="15" s="1"/>
  <c r="AT22" i="15" s="1"/>
  <c r="AU22" i="15" s="1"/>
  <c r="AV22" i="15" s="1"/>
  <c r="AW22" i="15" s="1"/>
  <c r="AX22" i="15" s="1"/>
  <c r="AY22" i="15" s="1"/>
  <c r="AZ22" i="15" s="1"/>
  <c r="BA22" i="15" s="1"/>
  <c r="BB22" i="15" s="1"/>
  <c r="BC22" i="15" s="1"/>
  <c r="BD22" i="15" s="1"/>
  <c r="BE22" i="15" s="1"/>
  <c r="BF22" i="15" s="1"/>
  <c r="BG22" i="15" s="1"/>
  <c r="BH22" i="15" s="1"/>
  <c r="BI22" i="15" s="1"/>
  <c r="B44" i="15" l="1"/>
  <c r="B42" i="15"/>
  <c r="B45" i="15" s="1"/>
  <c r="B46" i="15" s="1"/>
  <c r="B47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Adriano Magalhaes</author>
  </authors>
  <commentList>
    <comment ref="A9" authorId="0" shapeId="0" xr:uid="{5E94213B-5F9E-4FFD-83C1-1178E124E4FE}">
      <text>
        <r>
          <rPr>
            <sz val="9"/>
            <color indexed="81"/>
            <rFont val="Segoe UI"/>
            <family val="2"/>
          </rPr>
          <t xml:space="preserve">R$50,00/pessoa/noite
Transporte = 15/pessoa/noite
Camisetas = (cada R$ 30,00)
Obs.: qtde de camisetas não é igual a quantidade de promotores(as); e nem toda noite em todo bar haverá promotores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Associacao</author>
  </authors>
  <commentList>
    <comment ref="A8" authorId="0" shapeId="0" xr:uid="{74CEBC30-B5B5-4B38-8470-96DC54593A08}">
      <text>
        <r>
          <rPr>
            <b/>
            <sz val="9"/>
            <color indexed="81"/>
            <rFont val="Segoe UI"/>
            <family val="2"/>
          </rPr>
          <t xml:space="preserve">Considerou-se um reembolso progressivo de 40% a 20% do custo das bebidas ao longo de 5 anos. Lembrando que a receita de publicidade/patrocínio foi projetada como sendo o dobro do valor do custo das bebidas para compor o valor de cada pacote de patrocínio. Porém, consideramos que a pesquisa primária nos permite negociar com os bares para que não haja reembolso ou apenas parte dele. Por isso 40% da receita no início, chegando a até 20% da receita.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jd</author>
  </authors>
  <commentList>
    <comment ref="A1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jd:</t>
        </r>
        <r>
          <rPr>
            <sz val="9"/>
            <color indexed="81"/>
            <rFont val="Tahoma"/>
            <family val="2"/>
          </rPr>
          <t xml:space="preserve">
Considerou-se que encargos e benefícios correspondem a 100% do salário. Assim, o valor apresentado aqui corresponde a 2 vezes o salário base do funcionário. As únicas exceções são eventuais conselheiros (que emitem nota fiscal), os estagiários (que não pagam encargos) e os sócios, para os quais o valor dos encargos é um pouco menor.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jd</author>
  </authors>
  <commentList>
    <comment ref="A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jd:
Importante: nesta simulação, para simplificar a análise, considerou-se que todas as vendas ocorreram à vista e que os impostos incidentes são pagos no mesmo mês das vendas. Na prática, isso não ocorre, pois o fluxo de caixa será provavelmente influenciado por vendas a prazo e os impostos incidirão de acordo com o regime definido para a empresa: lucro real, lucro presumido etc. E ainda, caso você decida pela adesão ao Simples Nacional todos os impostos incidirão sobre a receita, já que há uma alíquota única de imposto.
Não foram consideradas ainda depreciação e amortização.
Isso posto, os resultados aqui apresentados servem apenas para se ter uma referência de valores e viabilidade financeira. Mesmo assim, não fogem muito da realidade, apesar das ressalvas acima. O cenário aqui apresentado é dos mais onerosos para o empreendedor, pois há impostos integrais incidentes na receita e no lucro, o que geralmente pode ser evitado legalmente com gestões financeira e contábil adequadas. Cabe destacar ainda que os investimentos feitos no negócio, quando focados em Pesquisa e Desenvolvimento (website, por exemplo) poderiam ser abatidos no imposto de renda até um certo limite, de acordo com a lei de inovação, melhorando ainda mais o resultado.
Finalmente, note que a projeção foi feita apenas até o ano 5. Caso a projeção continuasse pelo menos até o ano 6 (ano das Olimpíadas), os resultados aqui apresentados seriam ainda melhores, o que permitiria uma negociação mais adequada com os investidores, oferecendo a eles uma participação menor no negócio, pois provavelmente o VPL seria maior!</t>
        </r>
      </text>
    </comment>
    <comment ref="A40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jd:</t>
        </r>
        <r>
          <rPr>
            <sz val="9"/>
            <color indexed="81"/>
            <rFont val="Tahoma"/>
            <family val="2"/>
          </rPr>
          <t xml:space="preserve">
Não foram considerados os pagamentos de bônus e participação nos resultados aos funcionários nestas projeções, pois o fluxo de caixa acumulado torna-se positivo apenas no mês 43. Ao final dos anos 4 e 5, no entanto, já poderia ter sido pago bônus, pois houve lucro e as metas foram cumpridas.</t>
        </r>
      </text>
    </comment>
    <comment ref="B47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jd:</t>
        </r>
        <r>
          <rPr>
            <sz val="9"/>
            <color indexed="81"/>
            <rFont val="Tahoma"/>
            <family val="2"/>
          </rPr>
          <t xml:space="preserve">
Esse seria o valor de referência, mas cabe negociação. Geralmente, os investidores de risco e anjos ficam com menos de 50% do negócio no aporte inicial, mas é claro que sempre vão querer mais! Porém, a taxa de desconto considerada neste cenário (13%) é considerada baixa para a maioria dos investidores, o que valoriza ainda mais o aporte de recursos vindos desta fonte.</t>
        </r>
      </text>
    </comment>
  </commentList>
</comments>
</file>

<file path=xl/sharedStrings.xml><?xml version="1.0" encoding="utf-8"?>
<sst xmlns="http://schemas.openxmlformats.org/spreadsheetml/2006/main" count="352" uniqueCount="197">
  <si>
    <t>mês13</t>
  </si>
  <si>
    <t>mês14</t>
  </si>
  <si>
    <t>mês15</t>
  </si>
  <si>
    <t>mês16</t>
  </si>
  <si>
    <t>mês17</t>
  </si>
  <si>
    <t>mês18</t>
  </si>
  <si>
    <t>mês19</t>
  </si>
  <si>
    <t>mês20</t>
  </si>
  <si>
    <t>mês21</t>
  </si>
  <si>
    <t>mês22</t>
  </si>
  <si>
    <t>mês23</t>
  </si>
  <si>
    <t>mês24</t>
  </si>
  <si>
    <t>mês25</t>
  </si>
  <si>
    <t>mês26</t>
  </si>
  <si>
    <t>mês27</t>
  </si>
  <si>
    <t>mês28</t>
  </si>
  <si>
    <t>mês29</t>
  </si>
  <si>
    <t>mês30</t>
  </si>
  <si>
    <t>mês31</t>
  </si>
  <si>
    <t>mês32</t>
  </si>
  <si>
    <t>mês33</t>
  </si>
  <si>
    <t>mês34</t>
  </si>
  <si>
    <t>IR</t>
  </si>
  <si>
    <t>Contador</t>
  </si>
  <si>
    <t>Receita</t>
  </si>
  <si>
    <t>TOTAL</t>
  </si>
  <si>
    <t>Custos</t>
  </si>
  <si>
    <t>Despesas</t>
  </si>
  <si>
    <t>Aluguel/Condomínio</t>
  </si>
  <si>
    <t>mês38</t>
  </si>
  <si>
    <t>mês39</t>
  </si>
  <si>
    <t>mês40</t>
  </si>
  <si>
    <t>mês41</t>
  </si>
  <si>
    <t>mês42</t>
  </si>
  <si>
    <t>mês43</t>
  </si>
  <si>
    <t>mês44</t>
  </si>
  <si>
    <t>mês45</t>
  </si>
  <si>
    <t>mês46</t>
  </si>
  <si>
    <t>mês47</t>
  </si>
  <si>
    <t>mês48</t>
  </si>
  <si>
    <t>mês49</t>
  </si>
  <si>
    <t>mês50</t>
  </si>
  <si>
    <t>mês51</t>
  </si>
  <si>
    <t>mês52</t>
  </si>
  <si>
    <t>mês53</t>
  </si>
  <si>
    <t>mês54</t>
  </si>
  <si>
    <t>mês55</t>
  </si>
  <si>
    <t>mês56</t>
  </si>
  <si>
    <t>mês57</t>
  </si>
  <si>
    <t>mês58</t>
  </si>
  <si>
    <t>Nome da Empresa</t>
  </si>
  <si>
    <t>Ano de Início da Operação</t>
  </si>
  <si>
    <t>Mês 1</t>
  </si>
  <si>
    <t>Ano Final da Projeção</t>
  </si>
  <si>
    <t>Moeda</t>
  </si>
  <si>
    <t>R$</t>
  </si>
  <si>
    <t>Denominação</t>
  </si>
  <si>
    <t>000's</t>
  </si>
  <si>
    <t>mês1</t>
  </si>
  <si>
    <t>mês 2</t>
  </si>
  <si>
    <t>mês3</t>
  </si>
  <si>
    <t>mês4</t>
  </si>
  <si>
    <t>mês5</t>
  </si>
  <si>
    <t>mês6</t>
  </si>
  <si>
    <t>mês7</t>
  </si>
  <si>
    <t>mês8</t>
  </si>
  <si>
    <t>Lucro Anual</t>
  </si>
  <si>
    <t>Taxa de desconto</t>
  </si>
  <si>
    <t>VPL</t>
  </si>
  <si>
    <t>Despesas operacionais</t>
  </si>
  <si>
    <t>PREMISSAS GERAIS</t>
  </si>
  <si>
    <t>mês11</t>
  </si>
  <si>
    <t>mês12</t>
  </si>
  <si>
    <t>mês9</t>
  </si>
  <si>
    <t>mês10</t>
  </si>
  <si>
    <t>mês59</t>
  </si>
  <si>
    <t>mês60</t>
  </si>
  <si>
    <t>Salário dos Funcionários</t>
  </si>
  <si>
    <t>QUADRO DE FUNCIONÁRIOS</t>
  </si>
  <si>
    <t>CSLL</t>
  </si>
  <si>
    <t>Funcionários</t>
  </si>
  <si>
    <t>Investimentos</t>
  </si>
  <si>
    <t>mês35</t>
  </si>
  <si>
    <t>mês36</t>
  </si>
  <si>
    <t>mês37</t>
  </si>
  <si>
    <t>RESULTADOS ANUAIS</t>
  </si>
  <si>
    <t>Lucro Bruto</t>
  </si>
  <si>
    <t>Lucro Líquido</t>
  </si>
  <si>
    <t>PIS/COFINS</t>
  </si>
  <si>
    <t>Caixa Acumulado [R$]</t>
  </si>
  <si>
    <t>SALÁRIOS (já com ENCARGOS/BENEFÍCIOS)</t>
  </si>
  <si>
    <t>GASTOS TOTAIS COM FUNCIONÁRIOS</t>
  </si>
  <si>
    <t>Mês 60</t>
  </si>
  <si>
    <t>Ano 1</t>
  </si>
  <si>
    <t>Ano 2</t>
  </si>
  <si>
    <t>Ano 3</t>
  </si>
  <si>
    <t>Ano 4</t>
  </si>
  <si>
    <t>Ano 5</t>
  </si>
  <si>
    <t>PREMISSAS</t>
  </si>
  <si>
    <t>Observação: passe o ícone (do mouse) sobre as células para ter acesso à explicação do memorial de cálculo</t>
  </si>
  <si>
    <t>Receita Total</t>
  </si>
  <si>
    <t>MARKETING/COMERCIAL</t>
  </si>
  <si>
    <t>ADMINISTRATIVO/FINANCEIRO</t>
  </si>
  <si>
    <t>Resultados</t>
  </si>
  <si>
    <t>Impostos sobre faturamento</t>
  </si>
  <si>
    <t>Encargos e impostos</t>
  </si>
  <si>
    <t>RECEITA</t>
  </si>
  <si>
    <t>Receita total bruta</t>
  </si>
  <si>
    <t>Impostos sobre a receita bruta</t>
  </si>
  <si>
    <t>Receita líquida</t>
  </si>
  <si>
    <t>Resultados Anuais</t>
  </si>
  <si>
    <t>APORTE</t>
  </si>
  <si>
    <t>Telefonia, energia elétrica e demais itens de telecomunicações</t>
  </si>
  <si>
    <t>Assessoria jurídica</t>
  </si>
  <si>
    <t>Investimentos em infraestrutura</t>
  </si>
  <si>
    <t>GASTOS TOTAIS COM SALÁRIOS/BENEFÍCIOS</t>
  </si>
  <si>
    <t>QUANTIDADE DE FUNCIONÁRIOS</t>
  </si>
  <si>
    <t>TOTAL DE FUNCIONÁRIOS</t>
  </si>
  <si>
    <t>TIR</t>
  </si>
  <si>
    <t>após 5 anos</t>
  </si>
  <si>
    <t>Pre-money valuation</t>
  </si>
  <si>
    <t>Post-money valuation</t>
  </si>
  <si>
    <t>Contrapartida ao investidor</t>
  </si>
  <si>
    <t>Reajuste de salários (Selic, base 2020)</t>
  </si>
  <si>
    <t>IRPJ</t>
  </si>
  <si>
    <t>Assinatura usuário premium mensal</t>
  </si>
  <si>
    <t>Digital influencer</t>
  </si>
  <si>
    <t>Agência web (manutenção do App)</t>
  </si>
  <si>
    <t>Agência web (desenvolvimento do App)</t>
  </si>
  <si>
    <t>Software de escritório e TI</t>
  </si>
  <si>
    <t>Promotor de venda</t>
  </si>
  <si>
    <t>Analista adm-financeiro</t>
  </si>
  <si>
    <t>ISS</t>
  </si>
  <si>
    <t>Internet móvel</t>
  </si>
  <si>
    <t>Computadores</t>
  </si>
  <si>
    <t>Armários</t>
  </si>
  <si>
    <t>Agência de marketing</t>
  </si>
  <si>
    <t>Pacote pequeno</t>
  </si>
  <si>
    <t>Pacote médio</t>
  </si>
  <si>
    <t>Pacote grande</t>
  </si>
  <si>
    <t>Mesas</t>
  </si>
  <si>
    <t>Cadeiras</t>
  </si>
  <si>
    <t>Hospedagem do site</t>
  </si>
  <si>
    <t>Crush</t>
  </si>
  <si>
    <t>1 macth a cada 10 pessoas; assim a cada 100 pessoas teremos 10 matches ou 20 drinks</t>
  </si>
  <si>
    <t>Custo/drink médio por fim de semana = 3 x 280 = R$840</t>
  </si>
  <si>
    <t>Giro/noite de um bar pequeno = 300 pessoas</t>
  </si>
  <si>
    <t>Considerando adesão ao app de 70%, temos 210 pessoas ou aproximadamente 40 drinks/noite</t>
  </si>
  <si>
    <t>Custo médio por drink = R$7</t>
  </si>
  <si>
    <t>Custo médio por drink = R$7 x 40 = R$280</t>
  </si>
  <si>
    <t xml:space="preserve">Premissas de preços </t>
  </si>
  <si>
    <t>Lógica da premissa de custos dos brindes para potencial reembolso de drinks aos bares</t>
  </si>
  <si>
    <t>Tipos de bar e tipos de pacote de patrocínio</t>
  </si>
  <si>
    <t>Base de bares parceiros</t>
  </si>
  <si>
    <t>Bar com pelo menos 300 pessoas/noite = Pacote pequeno</t>
  </si>
  <si>
    <t>Bar com pelo menos 600 pessoas/noite = Pacote médio</t>
  </si>
  <si>
    <t>Bar com pelo menos 900 pessoas/noite = Pacote grande</t>
  </si>
  <si>
    <t>Para médio e grande são então: R$3360 e R$5040 respectivamente</t>
  </si>
  <si>
    <t>Preço pacote pequeno (fim de semana)</t>
  </si>
  <si>
    <t>Preço pacote médio (fim de semana)</t>
  </si>
  <si>
    <t>Preço pacote grande (fim de semana)</t>
  </si>
  <si>
    <t>Quantidade de bares parceiros</t>
  </si>
  <si>
    <t>Bar pequeno</t>
  </si>
  <si>
    <t>Bar médio</t>
  </si>
  <si>
    <t>Bar grande</t>
  </si>
  <si>
    <t>*considerando que em 1 ano pode haver até 50 fins de semana de patrocínio</t>
  </si>
  <si>
    <t>Quantidade de patrocínio por tipo de bar*</t>
  </si>
  <si>
    <t>Quantidade de pessoas por bar</t>
  </si>
  <si>
    <t>Assinantes</t>
  </si>
  <si>
    <t>Correios elegantes</t>
  </si>
  <si>
    <t>Quantidade de assinantes e correios elegantes**</t>
  </si>
  <si>
    <t>Total</t>
  </si>
  <si>
    <t>Premissas de receita por categoria</t>
  </si>
  <si>
    <t>Categorias de receita</t>
  </si>
  <si>
    <t>ANO 1</t>
  </si>
  <si>
    <t>ANO 2</t>
  </si>
  <si>
    <t>ANO 3</t>
  </si>
  <si>
    <t>ANO 4</t>
  </si>
  <si>
    <t>ANO 5</t>
  </si>
  <si>
    <t>Supervisor de promoção</t>
  </si>
  <si>
    <t>Representante comercial</t>
  </si>
  <si>
    <t>Móveis diversos e outros</t>
  </si>
  <si>
    <t>Hospedagem do site institucional</t>
  </si>
  <si>
    <t>apesar de constar como premissa, as projeções foram feitas sem reajustes</t>
  </si>
  <si>
    <t>Ticket médio de receita com correio elegante (já excluindo custos/pagtos ao bar)</t>
  </si>
  <si>
    <t>**1% a 5% da base (70% das pessoas do bar), com aumento progressivo anual</t>
  </si>
  <si>
    <t>são os principais parceiros</t>
  </si>
  <si>
    <t>30% da quantidade dos pequenos</t>
  </si>
  <si>
    <t>10% da quantidade dos pequenos</t>
  </si>
  <si>
    <t>Material de publicidade e toten</t>
  </si>
  <si>
    <t>equivale à máxima exposição do caixa (mês 24)</t>
  </si>
  <si>
    <t>Camiseta promotor de venda</t>
  </si>
  <si>
    <t>Material de escritório, limpeza etc.</t>
  </si>
  <si>
    <t>Deslocamento de representante comercial (combustivél + reembolso KM)</t>
  </si>
  <si>
    <t>Reembolso de bebidas oferecidas pelos bares</t>
  </si>
  <si>
    <t>CEO</t>
  </si>
  <si>
    <t>Com isso, caso o patrocinador pague 100% do valor dos drinks e o Crush pratique 100% de markup, o valor do patrocínio por fim de semana para um bar pequeno é de R$840 x 2 = R$1680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</si>
</sst>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* #,##0_);_(* \(#,##0\);_(* &quot;-&quot;??_);_(@_)"/>
    <numFmt numFmtId="167" formatCode="&quot;R$&quot;\ #,##0.00"/>
  </numFmts>
  <fonts count="44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Geneva"/>
    </font>
    <font>
      <b/>
      <sz val="14"/>
      <name val="Geneva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name val="Geneva"/>
    </font>
    <font>
      <b/>
      <sz val="11"/>
      <name val="Geneva"/>
    </font>
    <font>
      <b/>
      <sz val="10"/>
      <name val="Geneva"/>
    </font>
    <font>
      <sz val="10"/>
      <color indexed="18"/>
      <name val="Arial"/>
      <family val="2"/>
    </font>
    <font>
      <b/>
      <sz val="10"/>
      <color indexed="10"/>
      <name val="Arial"/>
      <family val="2"/>
    </font>
    <font>
      <sz val="12"/>
      <name val="Geneva"/>
    </font>
    <font>
      <sz val="9"/>
      <name val="Geneva"/>
    </font>
    <font>
      <b/>
      <sz val="16"/>
      <name val="Geneva"/>
    </font>
    <font>
      <b/>
      <sz val="9"/>
      <name val="Geneva"/>
    </font>
    <font>
      <b/>
      <sz val="12"/>
      <name val="Geneva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1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Geneva"/>
    </font>
    <font>
      <b/>
      <sz val="12"/>
      <color indexed="8"/>
      <name val="Calibri"/>
      <family val="2"/>
    </font>
    <font>
      <sz val="9"/>
      <color indexed="9"/>
      <name val="Arial"/>
      <family val="2"/>
    </font>
    <font>
      <sz val="10"/>
      <color indexed="8"/>
      <name val="Calibri"/>
      <family val="2"/>
    </font>
    <font>
      <sz val="12"/>
      <color indexed="8"/>
      <name val="Geneva"/>
    </font>
    <font>
      <sz val="11"/>
      <color indexed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u/>
      <sz val="11"/>
      <name val="Geneva"/>
    </font>
    <font>
      <b/>
      <sz val="10"/>
      <name val="Arial"/>
      <family val="2"/>
    </font>
    <font>
      <sz val="11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Geneva"/>
    </font>
    <font>
      <sz val="11"/>
      <color indexed="8"/>
      <name val="Geneva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Geneva"/>
    </font>
    <font>
      <sz val="12"/>
      <color rgb="FFFF0000"/>
      <name val="Geneva"/>
    </font>
    <font>
      <sz val="11"/>
      <color rgb="FFFF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Border="1"/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2" fillId="0" borderId="0" xfId="0" applyFont="1" applyFill="1" applyBorder="1"/>
    <xf numFmtId="0" fontId="2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Fill="1"/>
    <xf numFmtId="0" fontId="12" fillId="0" borderId="0" xfId="0" applyFont="1" applyFill="1" applyBorder="1"/>
    <xf numFmtId="0" fontId="18" fillId="0" borderId="0" xfId="4" applyFont="1"/>
    <xf numFmtId="0" fontId="18" fillId="0" borderId="0" xfId="4" applyFont="1" applyFill="1"/>
    <xf numFmtId="0" fontId="18" fillId="0" borderId="0" xfId="4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4" xfId="0" applyBorder="1"/>
    <xf numFmtId="0" fontId="15" fillId="2" borderId="1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8" fillId="4" borderId="6" xfId="0" applyFont="1" applyFill="1" applyBorder="1"/>
    <xf numFmtId="165" fontId="0" fillId="0" borderId="0" xfId="0" applyNumberFormat="1"/>
    <xf numFmtId="0" fontId="0" fillId="0" borderId="0" xfId="0" applyFill="1"/>
    <xf numFmtId="0" fontId="8" fillId="4" borderId="10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5" fillId="2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/>
    </xf>
    <xf numFmtId="0" fontId="25" fillId="0" borderId="0" xfId="0" applyFont="1" applyFill="1" applyBorder="1"/>
    <xf numFmtId="0" fontId="15" fillId="2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4" fontId="0" fillId="0" borderId="0" xfId="1" applyFont="1" applyFill="1" applyBorder="1"/>
    <xf numFmtId="164" fontId="21" fillId="0" borderId="0" xfId="1" applyFont="1" applyFill="1" applyBorder="1"/>
    <xf numFmtId="0" fontId="23" fillId="7" borderId="0" xfId="0" applyFont="1" applyFill="1"/>
    <xf numFmtId="0" fontId="0" fillId="8" borderId="0" xfId="0" applyFill="1"/>
    <xf numFmtId="1" fontId="0" fillId="0" borderId="0" xfId="0" applyNumberFormat="1"/>
    <xf numFmtId="166" fontId="0" fillId="0" borderId="0" xfId="1" applyNumberFormat="1" applyFont="1"/>
    <xf numFmtId="1" fontId="0" fillId="0" borderId="0" xfId="0" applyNumberFormat="1" applyFill="1"/>
    <xf numFmtId="0" fontId="21" fillId="10" borderId="0" xfId="0" applyFont="1" applyFill="1"/>
    <xf numFmtId="0" fontId="21" fillId="10" borderId="0" xfId="0" applyFont="1" applyFill="1" applyAlignment="1">
      <alignment horizontal="center"/>
    </xf>
    <xf numFmtId="0" fontId="21" fillId="0" borderId="0" xfId="0" applyFont="1"/>
    <xf numFmtId="0" fontId="30" fillId="0" borderId="0" xfId="0" applyFont="1" applyFill="1" applyBorder="1"/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/>
    </xf>
    <xf numFmtId="0" fontId="3" fillId="10" borderId="0" xfId="0" applyFont="1" applyFill="1" applyBorder="1"/>
    <xf numFmtId="0" fontId="2" fillId="10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left"/>
    </xf>
    <xf numFmtId="0" fontId="21" fillId="0" borderId="0" xfId="0" applyFont="1" applyFill="1"/>
    <xf numFmtId="0" fontId="15" fillId="2" borderId="21" xfId="0" applyFont="1" applyFill="1" applyBorder="1" applyAlignment="1">
      <alignment horizontal="center" vertical="center"/>
    </xf>
    <xf numFmtId="0" fontId="0" fillId="0" borderId="20" xfId="0" applyBorder="1"/>
    <xf numFmtId="0" fontId="21" fillId="0" borderId="0" xfId="0" applyFont="1" applyFill="1" applyBorder="1"/>
    <xf numFmtId="0" fontId="0" fillId="0" borderId="0" xfId="0" applyAlignment="1">
      <alignment horizontal="left"/>
    </xf>
    <xf numFmtId="0" fontId="21" fillId="10" borderId="4" xfId="0" applyFont="1" applyFill="1" applyBorder="1" applyAlignment="1">
      <alignment horizontal="left"/>
    </xf>
    <xf numFmtId="0" fontId="21" fillId="10" borderId="4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left"/>
    </xf>
    <xf numFmtId="0" fontId="21" fillId="10" borderId="0" xfId="0" applyFont="1" applyFill="1" applyAlignment="1">
      <alignment horizontal="left"/>
    </xf>
    <xf numFmtId="10" fontId="33" fillId="0" borderId="0" xfId="5" applyNumberFormat="1" applyFont="1" applyFill="1" applyAlignment="1">
      <alignment horizontal="right"/>
    </xf>
    <xf numFmtId="0" fontId="33" fillId="11" borderId="0" xfId="0" applyFont="1" applyFill="1"/>
    <xf numFmtId="0" fontId="0" fillId="11" borderId="0" xfId="0" applyFill="1"/>
    <xf numFmtId="0" fontId="9" fillId="0" borderId="0" xfId="0" applyFont="1" applyFill="1" applyBorder="1"/>
    <xf numFmtId="0" fontId="3" fillId="9" borderId="0" xfId="0" applyFont="1" applyFill="1" applyBorder="1"/>
    <xf numFmtId="0" fontId="34" fillId="0" borderId="0" xfId="0" applyFont="1" applyFill="1" applyBorder="1"/>
    <xf numFmtId="0" fontId="34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0" xfId="0" applyNumberFormat="1" applyFill="1" applyBorder="1"/>
    <xf numFmtId="0" fontId="8" fillId="0" borderId="0" xfId="0" applyFont="1" applyFill="1" applyBorder="1" applyAlignment="1">
      <alignment horizontal="center" vertical="center"/>
    </xf>
    <xf numFmtId="165" fontId="23" fillId="0" borderId="0" xfId="0" applyNumberFormat="1" applyFont="1" applyFill="1"/>
    <xf numFmtId="0" fontId="23" fillId="0" borderId="0" xfId="0" applyFont="1" applyFill="1"/>
    <xf numFmtId="0" fontId="15" fillId="9" borderId="0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165" fontId="21" fillId="0" borderId="0" xfId="0" applyNumberFormat="1" applyFont="1" applyFill="1"/>
    <xf numFmtId="0" fontId="21" fillId="8" borderId="0" xfId="0" applyFont="1" applyFill="1"/>
    <xf numFmtId="165" fontId="35" fillId="9" borderId="0" xfId="0" applyNumberFormat="1" applyFont="1" applyFill="1"/>
    <xf numFmtId="0" fontId="36" fillId="0" borderId="0" xfId="0" applyFont="1"/>
    <xf numFmtId="165" fontId="35" fillId="7" borderId="0" xfId="0" applyNumberFormat="1" applyFont="1" applyFill="1"/>
    <xf numFmtId="2" fontId="6" fillId="0" borderId="0" xfId="1" applyNumberFormat="1" applyFont="1" applyFill="1" applyBorder="1" applyAlignment="1">
      <alignment horizontal="right" vertical="center"/>
    </xf>
    <xf numFmtId="2" fontId="36" fillId="9" borderId="0" xfId="1" applyNumberFormat="1" applyFont="1" applyFill="1"/>
    <xf numFmtId="2" fontId="36" fillId="0" borderId="0" xfId="0" applyNumberFormat="1" applyFont="1" applyFill="1"/>
    <xf numFmtId="2" fontId="36" fillId="9" borderId="0" xfId="0" applyNumberFormat="1" applyFont="1" applyFill="1"/>
    <xf numFmtId="2" fontId="36" fillId="0" borderId="0" xfId="0" applyNumberFormat="1" applyFont="1"/>
    <xf numFmtId="9" fontId="36" fillId="0" borderId="0" xfId="0" applyNumberFormat="1" applyFont="1"/>
    <xf numFmtId="0" fontId="22" fillId="7" borderId="0" xfId="0" applyFont="1" applyFill="1"/>
    <xf numFmtId="0" fontId="21" fillId="0" borderId="0" xfId="0" applyFont="1" applyFill="1" applyAlignment="1">
      <alignment horizontal="center"/>
    </xf>
    <xf numFmtId="165" fontId="22" fillId="0" borderId="0" xfId="0" applyNumberFormat="1" applyFont="1" applyFill="1" applyAlignment="1">
      <alignment horizontal="right"/>
    </xf>
    <xf numFmtId="165" fontId="0" fillId="0" borderId="0" xfId="2" applyFont="1"/>
    <xf numFmtId="0" fontId="2" fillId="3" borderId="4" xfId="0" applyFont="1" applyFill="1" applyBorder="1"/>
    <xf numFmtId="43" fontId="0" fillId="0" borderId="0" xfId="0" applyNumberFormat="1"/>
    <xf numFmtId="10" fontId="5" fillId="0" borderId="0" xfId="5" applyNumberFormat="1" applyFont="1"/>
    <xf numFmtId="0" fontId="8" fillId="13" borderId="10" xfId="0" applyFont="1" applyFill="1" applyBorder="1" applyAlignment="1">
      <alignment horizontal="left"/>
    </xf>
    <xf numFmtId="165" fontId="0" fillId="0" borderId="4" xfId="2" applyFont="1" applyBorder="1"/>
    <xf numFmtId="165" fontId="21" fillId="4" borderId="11" xfId="2" applyFont="1" applyFill="1" applyBorder="1"/>
    <xf numFmtId="165" fontId="13" fillId="10" borderId="0" xfId="2" applyFont="1" applyFill="1"/>
    <xf numFmtId="165" fontId="12" fillId="0" borderId="0" xfId="2" applyFont="1"/>
    <xf numFmtId="165" fontId="12" fillId="0" borderId="0" xfId="2" applyFont="1" applyFill="1"/>
    <xf numFmtId="165" fontId="12" fillId="0" borderId="0" xfId="2" applyFont="1" applyFill="1" applyBorder="1"/>
    <xf numFmtId="165" fontId="14" fillId="0" borderId="0" xfId="2" applyFont="1"/>
    <xf numFmtId="165" fontId="18" fillId="0" borderId="0" xfId="2" applyFont="1"/>
    <xf numFmtId="165" fontId="18" fillId="0" borderId="0" xfId="2" applyFont="1" applyFill="1"/>
    <xf numFmtId="165" fontId="18" fillId="0" borderId="0" xfId="2" applyFont="1" applyFill="1" applyBorder="1"/>
    <xf numFmtId="165" fontId="14" fillId="0" borderId="12" xfId="2" applyFont="1" applyFill="1" applyBorder="1"/>
    <xf numFmtId="165" fontId="14" fillId="3" borderId="13" xfId="2" applyFont="1" applyFill="1" applyBorder="1" applyAlignment="1">
      <alignment horizontal="center"/>
    </xf>
    <xf numFmtId="165" fontId="14" fillId="3" borderId="14" xfId="2" applyFont="1" applyFill="1" applyBorder="1" applyAlignment="1">
      <alignment horizontal="center"/>
    </xf>
    <xf numFmtId="165" fontId="14" fillId="0" borderId="0" xfId="2" applyFont="1" applyFill="1" applyBorder="1" applyAlignment="1">
      <alignment horizontal="center"/>
    </xf>
    <xf numFmtId="165" fontId="14" fillId="0" borderId="0" xfId="2" applyFont="1" applyFill="1" applyBorder="1"/>
    <xf numFmtId="165" fontId="14" fillId="0" borderId="15" xfId="2" applyFont="1" applyFill="1" applyBorder="1" applyAlignment="1">
      <alignment horizontal="left"/>
    </xf>
    <xf numFmtId="165" fontId="14" fillId="3" borderId="7" xfId="2" applyFont="1" applyFill="1" applyBorder="1" applyAlignment="1">
      <alignment horizontal="center"/>
    </xf>
    <xf numFmtId="165" fontId="14" fillId="3" borderId="16" xfId="2" applyFont="1" applyFill="1" applyBorder="1" applyAlignment="1">
      <alignment horizontal="center"/>
    </xf>
    <xf numFmtId="165" fontId="14" fillId="3" borderId="17" xfId="2" applyFont="1" applyFill="1" applyBorder="1" applyAlignment="1">
      <alignment horizontal="center"/>
    </xf>
    <xf numFmtId="165" fontId="16" fillId="2" borderId="12" xfId="2" applyFont="1" applyFill="1" applyBorder="1"/>
    <xf numFmtId="165" fontId="18" fillId="0" borderId="18" xfId="2" applyFont="1" applyBorder="1"/>
    <xf numFmtId="165" fontId="18" fillId="0" borderId="19" xfId="2" applyFont="1" applyBorder="1"/>
    <xf numFmtId="165" fontId="16" fillId="5" borderId="0" xfId="2" applyFont="1" applyFill="1" applyBorder="1" applyAlignment="1">
      <alignment horizontal="right"/>
    </xf>
    <xf numFmtId="165" fontId="19" fillId="0" borderId="4" xfId="2" applyFont="1" applyFill="1" applyBorder="1" applyAlignment="1">
      <alignment horizontal="center"/>
    </xf>
    <xf numFmtId="165" fontId="19" fillId="0" borderId="5" xfId="2" applyFont="1" applyFill="1" applyBorder="1" applyAlignment="1">
      <alignment horizontal="center"/>
    </xf>
    <xf numFmtId="165" fontId="19" fillId="0" borderId="0" xfId="2" applyFont="1" applyFill="1" applyBorder="1" applyAlignment="1">
      <alignment horizontal="center"/>
    </xf>
    <xf numFmtId="165" fontId="18" fillId="3" borderId="0" xfId="2" applyFont="1" applyFill="1" applyBorder="1" applyAlignment="1">
      <alignment horizontal="right"/>
    </xf>
    <xf numFmtId="165" fontId="17" fillId="2" borderId="0" xfId="2" applyFont="1" applyFill="1" applyBorder="1" applyAlignment="1">
      <alignment horizontal="left"/>
    </xf>
    <xf numFmtId="165" fontId="18" fillId="0" borderId="0" xfId="2" applyFont="1" applyFill="1" applyBorder="1" applyAlignment="1">
      <alignment horizontal="center"/>
    </xf>
    <xf numFmtId="165" fontId="18" fillId="0" borderId="0" xfId="2" applyFont="1" applyFill="1" applyBorder="1" applyAlignment="1"/>
    <xf numFmtId="165" fontId="18" fillId="0" borderId="4" xfId="2" applyFont="1" applyFill="1" applyBorder="1"/>
    <xf numFmtId="165" fontId="18" fillId="0" borderId="5" xfId="2" applyFont="1" applyFill="1" applyBorder="1"/>
    <xf numFmtId="165" fontId="20" fillId="0" borderId="4" xfId="2" applyFont="1" applyFill="1" applyBorder="1" applyAlignment="1">
      <alignment horizontal="center"/>
    </xf>
    <xf numFmtId="165" fontId="20" fillId="0" borderId="0" xfId="2" applyFont="1" applyFill="1" applyBorder="1" applyAlignment="1">
      <alignment horizontal="center"/>
    </xf>
    <xf numFmtId="165" fontId="20" fillId="0" borderId="5" xfId="2" applyFont="1" applyFill="1" applyBorder="1" applyAlignment="1">
      <alignment horizontal="center"/>
    </xf>
    <xf numFmtId="165" fontId="16" fillId="4" borderId="0" xfId="2" applyFont="1" applyFill="1"/>
    <xf numFmtId="165" fontId="16" fillId="0" borderId="0" xfId="2" applyFont="1" applyFill="1" applyBorder="1"/>
    <xf numFmtId="165" fontId="18" fillId="4" borderId="0" xfId="2" applyFont="1" applyFill="1" applyBorder="1"/>
    <xf numFmtId="165" fontId="24" fillId="0" borderId="0" xfId="2" applyFont="1"/>
    <xf numFmtId="166" fontId="19" fillId="0" borderId="0" xfId="1" applyNumberFormat="1" applyFont="1" applyFill="1" applyBorder="1" applyAlignment="1">
      <alignment horizontal="center"/>
    </xf>
    <xf numFmtId="166" fontId="19" fillId="0" borderId="4" xfId="1" applyNumberFormat="1" applyFont="1" applyFill="1" applyBorder="1" applyAlignment="1">
      <alignment horizontal="center"/>
    </xf>
    <xf numFmtId="164" fontId="0" fillId="0" borderId="0" xfId="1" applyFont="1"/>
    <xf numFmtId="0" fontId="0" fillId="15" borderId="0" xfId="0" applyFill="1"/>
    <xf numFmtId="165" fontId="0" fillId="15" borderId="0" xfId="0" applyNumberFormat="1" applyFill="1"/>
    <xf numFmtId="0" fontId="22" fillId="15" borderId="0" xfId="0" applyFont="1" applyFill="1"/>
    <xf numFmtId="9" fontId="26" fillId="15" borderId="0" xfId="0" applyNumberFormat="1" applyFont="1" applyFill="1" applyAlignment="1">
      <alignment horizontal="right"/>
    </xf>
    <xf numFmtId="0" fontId="26" fillId="15" borderId="0" xfId="0" applyFont="1" applyFill="1" applyAlignment="1">
      <alignment horizontal="right"/>
    </xf>
    <xf numFmtId="167" fontId="26" fillId="15" borderId="0" xfId="0" applyNumberFormat="1" applyFont="1" applyFill="1" applyAlignment="1">
      <alignment horizontal="right"/>
    </xf>
    <xf numFmtId="165" fontId="22" fillId="15" borderId="0" xfId="0" applyNumberFormat="1" applyFont="1" applyFill="1" applyAlignment="1">
      <alignment horizontal="right"/>
    </xf>
    <xf numFmtId="0" fontId="22" fillId="15" borderId="0" xfId="0" applyFont="1" applyFill="1" applyAlignment="1">
      <alignment horizontal="left"/>
    </xf>
    <xf numFmtId="0" fontId="26" fillId="15" borderId="0" xfId="0" applyFont="1" applyFill="1" applyAlignment="1">
      <alignment horizontal="left"/>
    </xf>
    <xf numFmtId="164" fontId="26" fillId="15" borderId="0" xfId="0" applyNumberFormat="1" applyFont="1" applyFill="1"/>
    <xf numFmtId="9" fontId="0" fillId="15" borderId="0" xfId="0" applyNumberFormat="1" applyFill="1"/>
    <xf numFmtId="9" fontId="36" fillId="15" borderId="0" xfId="5" applyFont="1" applyFill="1"/>
    <xf numFmtId="167" fontId="26" fillId="15" borderId="0" xfId="5" applyNumberFormat="1" applyFont="1" applyFill="1"/>
    <xf numFmtId="164" fontId="27" fillId="15" borderId="0" xfId="0" applyNumberFormat="1" applyFont="1" applyFill="1"/>
    <xf numFmtId="167" fontId="26" fillId="15" borderId="0" xfId="0" applyNumberFormat="1" applyFont="1" applyFill="1"/>
    <xf numFmtId="9" fontId="26" fillId="15" borderId="0" xfId="5" applyFont="1" applyFill="1"/>
    <xf numFmtId="0" fontId="36" fillId="15" borderId="0" xfId="0" applyFont="1" applyFill="1"/>
    <xf numFmtId="0" fontId="39" fillId="0" borderId="0" xfId="0" applyFont="1"/>
    <xf numFmtId="165" fontId="0" fillId="0" borderId="0" xfId="2" applyFont="1" applyAlignment="1">
      <alignment horizontal="left"/>
    </xf>
    <xf numFmtId="0" fontId="33" fillId="0" borderId="0" xfId="0" applyFont="1"/>
    <xf numFmtId="166" fontId="0" fillId="0" borderId="0" xfId="1" applyNumberFormat="1" applyFont="1" applyFill="1"/>
    <xf numFmtId="164" fontId="0" fillId="0" borderId="0" xfId="0" applyNumberFormat="1" applyFill="1"/>
    <xf numFmtId="164" fontId="0" fillId="0" borderId="4" xfId="1" applyFont="1" applyFill="1" applyBorder="1"/>
    <xf numFmtId="164" fontId="0" fillId="0" borderId="4" xfId="0" applyNumberForma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3" fontId="0" fillId="0" borderId="0" xfId="0" applyNumberFormat="1" applyFill="1" applyBorder="1"/>
    <xf numFmtId="0" fontId="15" fillId="2" borderId="4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0" fillId="11" borderId="4" xfId="0" applyFill="1" applyBorder="1"/>
    <xf numFmtId="164" fontId="1" fillId="0" borderId="4" xfId="1" applyFont="1" applyFill="1" applyBorder="1"/>
    <xf numFmtId="0" fontId="22" fillId="16" borderId="4" xfId="0" applyFont="1" applyFill="1" applyBorder="1"/>
    <xf numFmtId="164" fontId="21" fillId="16" borderId="4" xfId="1" applyFont="1" applyFill="1" applyBorder="1"/>
    <xf numFmtId="0" fontId="0" fillId="16" borderId="4" xfId="0" applyFill="1" applyBorder="1"/>
    <xf numFmtId="164" fontId="0" fillId="16" borderId="4" xfId="0" applyNumberFormat="1" applyFill="1" applyBorder="1"/>
    <xf numFmtId="165" fontId="18" fillId="11" borderId="0" xfId="2" applyFont="1" applyFill="1" applyAlignment="1">
      <alignment horizontal="right"/>
    </xf>
    <xf numFmtId="0" fontId="2" fillId="3" borderId="22" xfId="0" applyFont="1" applyFill="1" applyBorder="1" applyAlignment="1">
      <alignment horizontal="left"/>
    </xf>
    <xf numFmtId="165" fontId="0" fillId="0" borderId="23" xfId="2" applyFont="1" applyBorder="1"/>
    <xf numFmtId="0" fontId="2" fillId="11" borderId="4" xfId="0" applyFont="1" applyFill="1" applyBorder="1"/>
    <xf numFmtId="165" fontId="0" fillId="17" borderId="4" xfId="2" applyFont="1" applyFill="1" applyBorder="1"/>
    <xf numFmtId="164" fontId="0" fillId="17" borderId="0" xfId="1" applyFont="1" applyFill="1" applyBorder="1"/>
    <xf numFmtId="0" fontId="0" fillId="17" borderId="0" xfId="0" applyFill="1" applyBorder="1"/>
    <xf numFmtId="0" fontId="0" fillId="17" borderId="0" xfId="0" applyFill="1"/>
    <xf numFmtId="0" fontId="0" fillId="18" borderId="0" xfId="0" applyFill="1" applyBorder="1"/>
    <xf numFmtId="0" fontId="40" fillId="0" borderId="0" xfId="0" applyFont="1"/>
    <xf numFmtId="9" fontId="0" fillId="0" borderId="0" xfId="0" applyNumberFormat="1" applyFont="1"/>
    <xf numFmtId="0" fontId="15" fillId="2" borderId="5" xfId="0" applyFont="1" applyFill="1" applyBorder="1" applyAlignment="1">
      <alignment horizontal="center" vertical="center"/>
    </xf>
    <xf numFmtId="164" fontId="0" fillId="0" borderId="5" xfId="1" applyFont="1" applyFill="1" applyBorder="1"/>
    <xf numFmtId="164" fontId="21" fillId="16" borderId="5" xfId="1" applyFont="1" applyFill="1" applyBorder="1"/>
    <xf numFmtId="165" fontId="41" fillId="15" borderId="0" xfId="0" applyNumberFormat="1" applyFont="1" applyFill="1"/>
    <xf numFmtId="0" fontId="42" fillId="15" borderId="0" xfId="0" applyFont="1" applyFill="1" applyAlignment="1">
      <alignment horizontal="left"/>
    </xf>
    <xf numFmtId="0" fontId="43" fillId="15" borderId="0" xfId="0" applyFont="1" applyFill="1"/>
    <xf numFmtId="164" fontId="0" fillId="17" borderId="0" xfId="0" applyNumberFormat="1" applyFill="1" applyBorder="1"/>
    <xf numFmtId="0" fontId="35" fillId="10" borderId="4" xfId="0" applyFont="1" applyFill="1" applyBorder="1"/>
    <xf numFmtId="0" fontId="35" fillId="10" borderId="4" xfId="0" applyFont="1" applyFill="1" applyBorder="1" applyAlignment="1">
      <alignment horizontal="center"/>
    </xf>
    <xf numFmtId="164" fontId="36" fillId="0" borderId="4" xfId="1" applyFont="1" applyBorder="1"/>
    <xf numFmtId="0" fontId="35" fillId="13" borderId="4" xfId="0" applyFont="1" applyFill="1" applyBorder="1"/>
    <xf numFmtId="164" fontId="35" fillId="13" borderId="4" xfId="1" applyFont="1" applyFill="1" applyBorder="1"/>
    <xf numFmtId="0" fontId="15" fillId="10" borderId="4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164" fontId="0" fillId="0" borderId="4" xfId="1" applyFont="1" applyBorder="1"/>
    <xf numFmtId="0" fontId="8" fillId="4" borderId="4" xfId="0" applyFont="1" applyFill="1" applyBorder="1"/>
    <xf numFmtId="164" fontId="21" fillId="13" borderId="4" xfId="1" applyFont="1" applyFill="1" applyBorder="1"/>
    <xf numFmtId="164" fontId="15" fillId="10" borderId="4" xfId="1" applyFont="1" applyFill="1" applyBorder="1" applyAlignment="1">
      <alignment horizontal="center" vertical="center"/>
    </xf>
    <xf numFmtId="164" fontId="22" fillId="10" borderId="4" xfId="1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left"/>
    </xf>
    <xf numFmtId="164" fontId="0" fillId="13" borderId="4" xfId="0" applyNumberFormat="1" applyFill="1" applyBorder="1"/>
    <xf numFmtId="165" fontId="17" fillId="10" borderId="4" xfId="2" applyFont="1" applyFill="1" applyBorder="1" applyAlignment="1">
      <alignment horizontal="left"/>
    </xf>
    <xf numFmtId="165" fontId="16" fillId="10" borderId="4" xfId="2" applyFont="1" applyFill="1" applyBorder="1" applyAlignment="1">
      <alignment horizontal="center"/>
    </xf>
    <xf numFmtId="165" fontId="16" fillId="0" borderId="4" xfId="2" applyFont="1" applyFill="1" applyBorder="1" applyAlignment="1">
      <alignment horizontal="right"/>
    </xf>
    <xf numFmtId="165" fontId="18" fillId="0" borderId="4" xfId="2" applyFont="1" applyFill="1" applyBorder="1" applyAlignment="1">
      <alignment horizontal="right"/>
    </xf>
    <xf numFmtId="165" fontId="16" fillId="13" borderId="4" xfId="2" applyFont="1" applyFill="1" applyBorder="1" applyAlignment="1">
      <alignment horizontal="left"/>
    </xf>
    <xf numFmtId="166" fontId="16" fillId="13" borderId="4" xfId="1" applyNumberFormat="1" applyFont="1" applyFill="1" applyBorder="1" applyAlignment="1">
      <alignment horizontal="center"/>
    </xf>
    <xf numFmtId="164" fontId="18" fillId="0" borderId="4" xfId="1" applyFont="1" applyFill="1" applyBorder="1"/>
    <xf numFmtId="165" fontId="16" fillId="4" borderId="4" xfId="2" applyFont="1" applyFill="1" applyBorder="1"/>
    <xf numFmtId="164" fontId="16" fillId="4" borderId="4" xfId="1" applyFont="1" applyFill="1" applyBorder="1"/>
    <xf numFmtId="164" fontId="22" fillId="14" borderId="4" xfId="1" applyFont="1" applyFill="1" applyBorder="1"/>
    <xf numFmtId="164" fontId="22" fillId="14" borderId="4" xfId="1" applyFont="1" applyFill="1" applyBorder="1" applyAlignment="1">
      <alignment horizontal="center"/>
    </xf>
    <xf numFmtId="164" fontId="36" fillId="15" borderId="4" xfId="1" applyFont="1" applyFill="1" applyBorder="1" applyAlignment="1">
      <alignment horizontal="left" indent="1"/>
    </xf>
    <xf numFmtId="164" fontId="36" fillId="15" borderId="4" xfId="1" applyFont="1" applyFill="1" applyBorder="1" applyAlignment="1">
      <alignment horizontal="right"/>
    </xf>
    <xf numFmtId="164" fontId="15" fillId="15" borderId="4" xfId="1" applyFont="1" applyFill="1" applyBorder="1" applyAlignment="1">
      <alignment horizontal="left"/>
    </xf>
    <xf numFmtId="164" fontId="11" fillId="15" borderId="4" xfId="1" applyFont="1" applyFill="1" applyBorder="1" applyAlignment="1">
      <alignment horizontal="left"/>
    </xf>
    <xf numFmtId="164" fontId="22" fillId="14" borderId="4" xfId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left"/>
    </xf>
  </cellXfs>
  <cellStyles count="6">
    <cellStyle name="Moeda" xfId="2" builtinId="4"/>
    <cellStyle name="Normal" xfId="0" builtinId="0"/>
    <cellStyle name="Normal 2" xfId="3" xr:uid="{00000000-0005-0000-0000-000002000000}"/>
    <cellStyle name="Normal_MS_FM02" xfId="4" xr:uid="{00000000-0005-0000-0000-000003000000}"/>
    <cellStyle name="Porcentagem" xfId="5" builtinId="5"/>
    <cellStyle name="Vírgula" xfId="1" builtinId="3"/>
  </cellStyles>
  <dxfs count="0"/>
  <tableStyles count="0" defaultTableStyle="TableStyleMedium9"/>
  <colors>
    <mruColors>
      <color rgb="FF99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Projeção de vendas anuais [R$]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Premissas!$A$47</c:f>
              <c:strCache>
                <c:ptCount val="1"/>
                <c:pt idx="0">
                  <c:v>Assinatura usuário premium mensal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Premissas!$B$46:$F$46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Premissas!$B$47:$F$47</c:f>
              <c:numCache>
                <c:formatCode>_(* #,##0.00_);_(* \(#,##0.00\);_(* "-"??_);_(@_)</c:formatCode>
                <c:ptCount val="5"/>
                <c:pt idx="0">
                  <c:v>2394</c:v>
                </c:pt>
                <c:pt idx="1">
                  <c:v>9576</c:v>
                </c:pt>
                <c:pt idx="2">
                  <c:v>29925</c:v>
                </c:pt>
                <c:pt idx="3">
                  <c:v>47879.999999999993</c:v>
                </c:pt>
                <c:pt idx="4">
                  <c:v>79800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6-42C5-B96E-3C8D839A63E1}"/>
            </c:ext>
          </c:extLst>
        </c:ser>
        <c:ser>
          <c:idx val="1"/>
          <c:order val="1"/>
          <c:tx>
            <c:strRef>
              <c:f>Premissas!$A$48</c:f>
              <c:strCache>
                <c:ptCount val="1"/>
                <c:pt idx="0">
                  <c:v>Correios elegantes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Premissas!$B$46:$F$46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Premissas!$B$48:$F$48</c:f>
              <c:numCache>
                <c:formatCode>_(* #,##0.00_);_(* \(#,##0.00\);_(* "-"??_);_(@_)</c:formatCode>
                <c:ptCount val="5"/>
                <c:pt idx="0">
                  <c:v>2394</c:v>
                </c:pt>
                <c:pt idx="1">
                  <c:v>9576</c:v>
                </c:pt>
                <c:pt idx="2">
                  <c:v>29925</c:v>
                </c:pt>
                <c:pt idx="3">
                  <c:v>47879.999999999993</c:v>
                </c:pt>
                <c:pt idx="4">
                  <c:v>79800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96-42C5-B96E-3C8D839A63E1}"/>
            </c:ext>
          </c:extLst>
        </c:ser>
        <c:ser>
          <c:idx val="2"/>
          <c:order val="2"/>
          <c:tx>
            <c:strRef>
              <c:f>Premissas!$A$49</c:f>
              <c:strCache>
                <c:ptCount val="1"/>
                <c:pt idx="0">
                  <c:v>Pacote pequeno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Premissas!$B$46:$F$46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Premissas!$B$49:$F$49</c:f>
              <c:numCache>
                <c:formatCode>_(* #,##0.00_);_(* \(#,##0.00\);_(* "-"??_);_(@_)</c:formatCode>
                <c:ptCount val="5"/>
                <c:pt idx="0">
                  <c:v>504000</c:v>
                </c:pt>
                <c:pt idx="1">
                  <c:v>1344000</c:v>
                </c:pt>
                <c:pt idx="2">
                  <c:v>2520000</c:v>
                </c:pt>
                <c:pt idx="3">
                  <c:v>4032000</c:v>
                </c:pt>
                <c:pt idx="4">
                  <c:v>5376000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96-42C5-B96E-3C8D839A63E1}"/>
            </c:ext>
          </c:extLst>
        </c:ser>
        <c:ser>
          <c:idx val="3"/>
          <c:order val="3"/>
          <c:tx>
            <c:strRef>
              <c:f>Premissas!$A$50</c:f>
              <c:strCache>
                <c:ptCount val="1"/>
                <c:pt idx="0">
                  <c:v>Pacote médio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Premissas!$B$46:$F$46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Premissas!$B$50:$F$50</c:f>
              <c:numCache>
                <c:formatCode>_(* #,##0.00_);_(* \(#,##0.00\);_(* "-"??_);_(@_)</c:formatCode>
                <c:ptCount val="5"/>
                <c:pt idx="0">
                  <c:v>90720</c:v>
                </c:pt>
                <c:pt idx="1">
                  <c:v>241920</c:v>
                </c:pt>
                <c:pt idx="2">
                  <c:v>453600</c:v>
                </c:pt>
                <c:pt idx="3">
                  <c:v>725760</c:v>
                </c:pt>
                <c:pt idx="4">
                  <c:v>967680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96-42C5-B96E-3C8D839A63E1}"/>
            </c:ext>
          </c:extLst>
        </c:ser>
        <c:ser>
          <c:idx val="4"/>
          <c:order val="4"/>
          <c:tx>
            <c:strRef>
              <c:f>Premissas!$A$51</c:f>
              <c:strCache>
                <c:ptCount val="1"/>
                <c:pt idx="0">
                  <c:v>Pacote grande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Premissas!$B$46:$F$46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Premissas!$B$51:$F$51</c:f>
              <c:numCache>
                <c:formatCode>_(* #,##0.00_);_(* \(#,##0.00\);_(* "-"??_);_(@_)</c:formatCode>
                <c:ptCount val="5"/>
                <c:pt idx="0">
                  <c:v>15120</c:v>
                </c:pt>
                <c:pt idx="1">
                  <c:v>40320</c:v>
                </c:pt>
                <c:pt idx="2">
                  <c:v>75600</c:v>
                </c:pt>
                <c:pt idx="3">
                  <c:v>120960</c:v>
                </c:pt>
                <c:pt idx="4">
                  <c:v>161280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96-42C5-B96E-3C8D839A6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705760"/>
        <c:axId val="491709696"/>
      </c:barChart>
      <c:lineChart>
        <c:grouping val="standard"/>
        <c:varyColors val="0"/>
        <c:ser>
          <c:idx val="5"/>
          <c:order val="5"/>
          <c:tx>
            <c:strRef>
              <c:f>Premissas!$A$52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96-42C5-B96E-3C8D839A63E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96-42C5-B96E-3C8D839A63E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96-42C5-B96E-3C8D839A63E1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96-42C5-B96E-3C8D839A63E1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96-42C5-B96E-3C8D839A63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Premissas!$B$46:$F$46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Premissas!$B$52:$F$52</c:f>
              <c:numCache>
                <c:formatCode>_(* #,##0.00_);_(* \(#,##0.00\);_(* "-"??_);_(@_)</c:formatCode>
                <c:ptCount val="5"/>
                <c:pt idx="0">
                  <c:v>614628</c:v>
                </c:pt>
                <c:pt idx="1">
                  <c:v>1645392</c:v>
                </c:pt>
                <c:pt idx="2">
                  <c:v>3109050</c:v>
                </c:pt>
                <c:pt idx="3">
                  <c:v>4974480</c:v>
                </c:pt>
                <c:pt idx="4">
                  <c:v>6664560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96-42C5-B96E-3C8D839A6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705760"/>
        <c:axId val="491709696"/>
      </c:lineChart>
      <c:catAx>
        <c:axId val="49170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709696"/>
        <c:crosses val="autoZero"/>
        <c:auto val="1"/>
        <c:lblAlgn val="ctr"/>
        <c:lblOffset val="100"/>
        <c:noMultiLvlLbl val="0"/>
      </c:catAx>
      <c:valAx>
        <c:axId val="4917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70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Resultados</a:t>
            </a:r>
            <a:r>
              <a:rPr lang="en-US" baseline="0"/>
              <a:t> Anuais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Receita!$A$13</c:f>
              <c:strCache>
                <c:ptCount val="1"/>
                <c:pt idx="0">
                  <c:v>Assinatura usuário premium mensal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Receita!$B$12:$F$12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Receita!$B$13:$F$13</c:f>
              <c:numCache>
                <c:formatCode>_(* #,##0.00_);_(* \(#,##0.00\);_(* "-"??_);_(@_)</c:formatCode>
                <c:ptCount val="5"/>
                <c:pt idx="0">
                  <c:v>2394</c:v>
                </c:pt>
                <c:pt idx="1">
                  <c:v>9576</c:v>
                </c:pt>
                <c:pt idx="2">
                  <c:v>29925</c:v>
                </c:pt>
                <c:pt idx="3">
                  <c:v>47879.999999999993</c:v>
                </c:pt>
                <c:pt idx="4">
                  <c:v>79800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D-44DA-BBE8-CD435E51B6B1}"/>
            </c:ext>
          </c:extLst>
        </c:ser>
        <c:ser>
          <c:idx val="1"/>
          <c:order val="1"/>
          <c:tx>
            <c:strRef>
              <c:f>Receita!$A$14</c:f>
              <c:strCache>
                <c:ptCount val="1"/>
                <c:pt idx="0">
                  <c:v>Correios elegantes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Receita!$B$12:$F$12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Receita!$B$14:$F$14</c:f>
              <c:numCache>
                <c:formatCode>_(* #,##0.00_);_(* \(#,##0.00\);_(* "-"??_);_(@_)</c:formatCode>
                <c:ptCount val="5"/>
                <c:pt idx="0">
                  <c:v>2394</c:v>
                </c:pt>
                <c:pt idx="1">
                  <c:v>9576</c:v>
                </c:pt>
                <c:pt idx="2">
                  <c:v>29925</c:v>
                </c:pt>
                <c:pt idx="3">
                  <c:v>47879.999999999993</c:v>
                </c:pt>
                <c:pt idx="4">
                  <c:v>79800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7D-44DA-BBE8-CD435E51B6B1}"/>
            </c:ext>
          </c:extLst>
        </c:ser>
        <c:ser>
          <c:idx val="2"/>
          <c:order val="2"/>
          <c:tx>
            <c:strRef>
              <c:f>Receita!$A$15</c:f>
              <c:strCache>
                <c:ptCount val="1"/>
                <c:pt idx="0">
                  <c:v>Pacote pequeno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Receita!$B$12:$F$12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Receita!$B$15:$F$15</c:f>
              <c:numCache>
                <c:formatCode>_(* #,##0.00_);_(* \(#,##0.00\);_(* "-"??_);_(@_)</c:formatCode>
                <c:ptCount val="5"/>
                <c:pt idx="0">
                  <c:v>504000</c:v>
                </c:pt>
                <c:pt idx="1">
                  <c:v>1344000</c:v>
                </c:pt>
                <c:pt idx="2">
                  <c:v>2520000</c:v>
                </c:pt>
                <c:pt idx="3">
                  <c:v>4032000</c:v>
                </c:pt>
                <c:pt idx="4">
                  <c:v>5376000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7D-44DA-BBE8-CD435E51B6B1}"/>
            </c:ext>
          </c:extLst>
        </c:ser>
        <c:ser>
          <c:idx val="3"/>
          <c:order val="3"/>
          <c:tx>
            <c:strRef>
              <c:f>Receita!$A$16</c:f>
              <c:strCache>
                <c:ptCount val="1"/>
                <c:pt idx="0">
                  <c:v>Pacote médio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Receita!$B$12:$F$12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Receita!$B$16:$F$16</c:f>
              <c:numCache>
                <c:formatCode>_(* #,##0.00_);_(* \(#,##0.00\);_(* "-"??_);_(@_)</c:formatCode>
                <c:ptCount val="5"/>
                <c:pt idx="0">
                  <c:v>90720</c:v>
                </c:pt>
                <c:pt idx="1">
                  <c:v>241920</c:v>
                </c:pt>
                <c:pt idx="2">
                  <c:v>453600</c:v>
                </c:pt>
                <c:pt idx="3">
                  <c:v>725760</c:v>
                </c:pt>
                <c:pt idx="4">
                  <c:v>967680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7D-44DA-BBE8-CD435E51B6B1}"/>
            </c:ext>
          </c:extLst>
        </c:ser>
        <c:ser>
          <c:idx val="4"/>
          <c:order val="4"/>
          <c:tx>
            <c:strRef>
              <c:f>Receita!$A$17</c:f>
              <c:strCache>
                <c:ptCount val="1"/>
                <c:pt idx="0">
                  <c:v>Pacote grande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Receita!$B$12:$F$12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Receita!$B$17:$F$17</c:f>
              <c:numCache>
                <c:formatCode>_(* #,##0.00_);_(* \(#,##0.00\);_(* "-"??_);_(@_)</c:formatCode>
                <c:ptCount val="5"/>
                <c:pt idx="0">
                  <c:v>15120</c:v>
                </c:pt>
                <c:pt idx="1">
                  <c:v>40320</c:v>
                </c:pt>
                <c:pt idx="2">
                  <c:v>75600</c:v>
                </c:pt>
                <c:pt idx="3">
                  <c:v>120960</c:v>
                </c:pt>
                <c:pt idx="4">
                  <c:v>161280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7D-44DA-BBE8-CD435E51B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312424"/>
        <c:axId val="523312752"/>
      </c:barChart>
      <c:catAx>
        <c:axId val="52331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12752"/>
        <c:crosses val="autoZero"/>
        <c:auto val="1"/>
        <c:lblAlgn val="ctr"/>
        <c:lblOffset val="100"/>
        <c:noMultiLvlLbl val="0"/>
      </c:catAx>
      <c:valAx>
        <c:axId val="52331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12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Investimentos</a:t>
            </a:r>
            <a:r>
              <a:rPr lang="en-US" baseline="0"/>
              <a:t> em infraestrutura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Investimentos_infra!$A$13</c:f>
              <c:strCache>
                <c:ptCount val="1"/>
                <c:pt idx="0">
                  <c:v>Computadores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Investimentos_infra!$B$12:$F$12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Investimentos_infra!$B$13:$F$13</c:f>
              <c:numCache>
                <c:formatCode>_(* #,##0.00_);_(* \(#,##0.00\);_(* "-"??_);_(@_)</c:formatCode>
                <c:ptCount val="5"/>
                <c:pt idx="0">
                  <c:v>22000</c:v>
                </c:pt>
                <c:pt idx="1">
                  <c:v>15000</c:v>
                </c:pt>
                <c:pt idx="2">
                  <c:v>10000</c:v>
                </c:pt>
                <c:pt idx="3">
                  <c:v>10000</c:v>
                </c:pt>
                <c:pt idx="4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0-4EB8-82C3-B384F79050D8}"/>
            </c:ext>
          </c:extLst>
        </c:ser>
        <c:ser>
          <c:idx val="1"/>
          <c:order val="1"/>
          <c:tx>
            <c:strRef>
              <c:f>Investimentos_infra!$A$14</c:f>
              <c:strCache>
                <c:ptCount val="1"/>
                <c:pt idx="0">
                  <c:v>Armários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Investimentos_infra!$B$12:$F$12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Investimentos_infra!$B$14:$F$14</c:f>
              <c:numCache>
                <c:formatCode>_(* #,##0.00_);_(* \(#,##0.00\);_(* "-"??_);_(@_)</c:formatCode>
                <c:ptCount val="5"/>
                <c:pt idx="0">
                  <c:v>5500</c:v>
                </c:pt>
                <c:pt idx="1">
                  <c:v>3750</c:v>
                </c:pt>
                <c:pt idx="2">
                  <c:v>2500</c:v>
                </c:pt>
                <c:pt idx="3">
                  <c:v>2500</c:v>
                </c:pt>
                <c:pt idx="4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90-4EB8-82C3-B384F79050D8}"/>
            </c:ext>
          </c:extLst>
        </c:ser>
        <c:ser>
          <c:idx val="2"/>
          <c:order val="2"/>
          <c:tx>
            <c:strRef>
              <c:f>Investimentos_infra!$A$15</c:f>
              <c:strCache>
                <c:ptCount val="1"/>
                <c:pt idx="0">
                  <c:v>Mesas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Investimentos_infra!$B$12:$F$12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Investimentos_infra!$B$15:$F$15</c:f>
              <c:numCache>
                <c:formatCode>_(* #,##0.00_);_(* \(#,##0.00\);_(* "-"??_);_(@_)</c:formatCode>
                <c:ptCount val="5"/>
                <c:pt idx="0">
                  <c:v>5500</c:v>
                </c:pt>
                <c:pt idx="1">
                  <c:v>3750</c:v>
                </c:pt>
                <c:pt idx="2">
                  <c:v>2500</c:v>
                </c:pt>
                <c:pt idx="3">
                  <c:v>2500</c:v>
                </c:pt>
                <c:pt idx="4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90-4EB8-82C3-B384F79050D8}"/>
            </c:ext>
          </c:extLst>
        </c:ser>
        <c:ser>
          <c:idx val="3"/>
          <c:order val="3"/>
          <c:tx>
            <c:strRef>
              <c:f>Investimentos_infra!$A$16</c:f>
              <c:strCache>
                <c:ptCount val="1"/>
                <c:pt idx="0">
                  <c:v>Cadeiras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Investimentos_infra!$B$12:$F$12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Investimentos_infra!$B$16:$F$16</c:f>
              <c:numCache>
                <c:formatCode>_(* #,##0.00_);_(* \(#,##0.00\);_(* "-"??_);_(@_)</c:formatCode>
                <c:ptCount val="5"/>
                <c:pt idx="0">
                  <c:v>4400</c:v>
                </c:pt>
                <c:pt idx="1">
                  <c:v>3000</c:v>
                </c:pt>
                <c:pt idx="2">
                  <c:v>2000</c:v>
                </c:pt>
                <c:pt idx="3">
                  <c:v>2000</c:v>
                </c:pt>
                <c:pt idx="4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90-4EB8-82C3-B384F79050D8}"/>
            </c:ext>
          </c:extLst>
        </c:ser>
        <c:ser>
          <c:idx val="4"/>
          <c:order val="4"/>
          <c:tx>
            <c:strRef>
              <c:f>Investimentos_infra!$A$17</c:f>
              <c:strCache>
                <c:ptCount val="1"/>
                <c:pt idx="0">
                  <c:v>Móveis diversos e outros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Investimentos_infra!$B$12:$F$12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Investimentos_infra!$B$17:$F$17</c:f>
              <c:numCache>
                <c:formatCode>_(* #,##0.00_);_(* \(#,##0.00\);_(* "-"??_);_(@_)</c:formatCode>
                <c:ptCount val="5"/>
                <c:pt idx="0">
                  <c:v>10000</c:v>
                </c:pt>
                <c:pt idx="1">
                  <c:v>7500</c:v>
                </c:pt>
                <c:pt idx="2">
                  <c:v>5000</c:v>
                </c:pt>
                <c:pt idx="3">
                  <c:v>5000</c:v>
                </c:pt>
                <c:pt idx="4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90-4EB8-82C3-B384F7905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9185624"/>
        <c:axId val="519184312"/>
      </c:barChart>
      <c:catAx>
        <c:axId val="51918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184312"/>
        <c:crosses val="autoZero"/>
        <c:auto val="1"/>
        <c:lblAlgn val="ctr"/>
        <c:lblOffset val="100"/>
        <c:noMultiLvlLbl val="0"/>
      </c:catAx>
      <c:valAx>
        <c:axId val="51918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18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Despesas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Despesas!$B$19</c:f>
              <c:strCache>
                <c:ptCount val="1"/>
                <c:pt idx="0">
                  <c:v>Ano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Despesas!$A$20:$A$30</c:f>
              <c:strCache>
                <c:ptCount val="11"/>
                <c:pt idx="0">
                  <c:v>Telefonia, energia elétrica e demais itens de telecomunicações</c:v>
                </c:pt>
                <c:pt idx="1">
                  <c:v>Hospedagem do site</c:v>
                </c:pt>
                <c:pt idx="2">
                  <c:v>Internet móvel</c:v>
                </c:pt>
                <c:pt idx="3">
                  <c:v>Assessoria jurídica</c:v>
                </c:pt>
                <c:pt idx="4">
                  <c:v>Promotor de venda</c:v>
                </c:pt>
                <c:pt idx="5">
                  <c:v>Camiseta promotor de venda</c:v>
                </c:pt>
                <c:pt idx="6">
                  <c:v>Digital influencer</c:v>
                </c:pt>
                <c:pt idx="7">
                  <c:v>Software de escritório e TI</c:v>
                </c:pt>
                <c:pt idx="8">
                  <c:v>Aluguel/Condomínio</c:v>
                </c:pt>
                <c:pt idx="9">
                  <c:v>Contador</c:v>
                </c:pt>
                <c:pt idx="10">
                  <c:v>Material de escritório, limpeza etc.</c:v>
                </c:pt>
              </c:strCache>
            </c:strRef>
          </c:cat>
          <c:val>
            <c:numRef>
              <c:f>Despesas!$B$20:$B$30</c:f>
              <c:numCache>
                <c:formatCode>_(* #,##0.00_);_(* \(#,##0.00\);_(* "-"??_);_(@_)</c:formatCode>
                <c:ptCount val="11"/>
                <c:pt idx="0">
                  <c:v>2400</c:v>
                </c:pt>
                <c:pt idx="1">
                  <c:v>1200</c:v>
                </c:pt>
                <c:pt idx="2">
                  <c:v>1979.64</c:v>
                </c:pt>
                <c:pt idx="3">
                  <c:v>12000</c:v>
                </c:pt>
                <c:pt idx="4">
                  <c:v>47970</c:v>
                </c:pt>
                <c:pt idx="5">
                  <c:v>8580</c:v>
                </c:pt>
                <c:pt idx="6">
                  <c:v>18000</c:v>
                </c:pt>
                <c:pt idx="7">
                  <c:v>20000</c:v>
                </c:pt>
                <c:pt idx="8">
                  <c:v>60000</c:v>
                </c:pt>
                <c:pt idx="9">
                  <c:v>12000</c:v>
                </c:pt>
                <c:pt idx="10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4-48F4-8636-77DAEDE1AE60}"/>
            </c:ext>
          </c:extLst>
        </c:ser>
        <c:ser>
          <c:idx val="1"/>
          <c:order val="1"/>
          <c:tx>
            <c:strRef>
              <c:f>Despesas!$C$19</c:f>
              <c:strCache>
                <c:ptCount val="1"/>
                <c:pt idx="0">
                  <c:v>Ano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Despesas!$A$20:$A$30</c:f>
              <c:strCache>
                <c:ptCount val="11"/>
                <c:pt idx="0">
                  <c:v>Telefonia, energia elétrica e demais itens de telecomunicações</c:v>
                </c:pt>
                <c:pt idx="1">
                  <c:v>Hospedagem do site</c:v>
                </c:pt>
                <c:pt idx="2">
                  <c:v>Internet móvel</c:v>
                </c:pt>
                <c:pt idx="3">
                  <c:v>Assessoria jurídica</c:v>
                </c:pt>
                <c:pt idx="4">
                  <c:v>Promotor de venda</c:v>
                </c:pt>
                <c:pt idx="5">
                  <c:v>Camiseta promotor de venda</c:v>
                </c:pt>
                <c:pt idx="6">
                  <c:v>Digital influencer</c:v>
                </c:pt>
                <c:pt idx="7">
                  <c:v>Software de escritório e TI</c:v>
                </c:pt>
                <c:pt idx="8">
                  <c:v>Aluguel/Condomínio</c:v>
                </c:pt>
                <c:pt idx="9">
                  <c:v>Contador</c:v>
                </c:pt>
                <c:pt idx="10">
                  <c:v>Material de escritório, limpeza etc.</c:v>
                </c:pt>
              </c:strCache>
            </c:strRef>
          </c:cat>
          <c:val>
            <c:numRef>
              <c:f>Despesas!$C$20:$C$30</c:f>
              <c:numCache>
                <c:formatCode>_(* #,##0.00_);_(* \(#,##0.00\);_(* "-"??_);_(@_)</c:formatCode>
                <c:ptCount val="11"/>
                <c:pt idx="0">
                  <c:v>3600</c:v>
                </c:pt>
                <c:pt idx="1">
                  <c:v>1200</c:v>
                </c:pt>
                <c:pt idx="2">
                  <c:v>3299.3999999999992</c:v>
                </c:pt>
                <c:pt idx="3">
                  <c:v>12000</c:v>
                </c:pt>
                <c:pt idx="4">
                  <c:v>102960</c:v>
                </c:pt>
                <c:pt idx="5">
                  <c:v>21600</c:v>
                </c:pt>
                <c:pt idx="6">
                  <c:v>72000</c:v>
                </c:pt>
                <c:pt idx="7">
                  <c:v>20076</c:v>
                </c:pt>
                <c:pt idx="8">
                  <c:v>96000</c:v>
                </c:pt>
                <c:pt idx="9">
                  <c:v>12000</c:v>
                </c:pt>
                <c:pt idx="10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4-48F4-8636-77DAEDE1AE60}"/>
            </c:ext>
          </c:extLst>
        </c:ser>
        <c:ser>
          <c:idx val="2"/>
          <c:order val="2"/>
          <c:tx>
            <c:strRef>
              <c:f>Despesas!$D$19</c:f>
              <c:strCache>
                <c:ptCount val="1"/>
                <c:pt idx="0">
                  <c:v>Ano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Despesas!$A$20:$A$30</c:f>
              <c:strCache>
                <c:ptCount val="11"/>
                <c:pt idx="0">
                  <c:v>Telefonia, energia elétrica e demais itens de telecomunicações</c:v>
                </c:pt>
                <c:pt idx="1">
                  <c:v>Hospedagem do site</c:v>
                </c:pt>
                <c:pt idx="2">
                  <c:v>Internet móvel</c:v>
                </c:pt>
                <c:pt idx="3">
                  <c:v>Assessoria jurídica</c:v>
                </c:pt>
                <c:pt idx="4">
                  <c:v>Promotor de venda</c:v>
                </c:pt>
                <c:pt idx="5">
                  <c:v>Camiseta promotor de venda</c:v>
                </c:pt>
                <c:pt idx="6">
                  <c:v>Digital influencer</c:v>
                </c:pt>
                <c:pt idx="7">
                  <c:v>Software de escritório e TI</c:v>
                </c:pt>
                <c:pt idx="8">
                  <c:v>Aluguel/Condomínio</c:v>
                </c:pt>
                <c:pt idx="9">
                  <c:v>Contador</c:v>
                </c:pt>
                <c:pt idx="10">
                  <c:v>Material de escritório, limpeza etc.</c:v>
                </c:pt>
              </c:strCache>
            </c:strRef>
          </c:cat>
          <c:val>
            <c:numRef>
              <c:f>Despesas!$D$20:$D$30</c:f>
              <c:numCache>
                <c:formatCode>_(* #,##0.00_);_(* \(#,##0.00\);_(* "-"??_);_(@_)</c:formatCode>
                <c:ptCount val="11"/>
                <c:pt idx="0">
                  <c:v>6000</c:v>
                </c:pt>
                <c:pt idx="1">
                  <c:v>1200</c:v>
                </c:pt>
                <c:pt idx="2">
                  <c:v>4619.16</c:v>
                </c:pt>
                <c:pt idx="3">
                  <c:v>12000</c:v>
                </c:pt>
                <c:pt idx="4">
                  <c:v>102960</c:v>
                </c:pt>
                <c:pt idx="5">
                  <c:v>21600</c:v>
                </c:pt>
                <c:pt idx="6">
                  <c:v>108000</c:v>
                </c:pt>
                <c:pt idx="7">
                  <c:v>28680</c:v>
                </c:pt>
                <c:pt idx="8">
                  <c:v>144000</c:v>
                </c:pt>
                <c:pt idx="9">
                  <c:v>12000</c:v>
                </c:pt>
                <c:pt idx="10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84-48F4-8636-77DAEDE1AE60}"/>
            </c:ext>
          </c:extLst>
        </c:ser>
        <c:ser>
          <c:idx val="3"/>
          <c:order val="3"/>
          <c:tx>
            <c:strRef>
              <c:f>Despesas!$E$19</c:f>
              <c:strCache>
                <c:ptCount val="1"/>
                <c:pt idx="0">
                  <c:v>Ano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Despesas!$A$20:$A$30</c:f>
              <c:strCache>
                <c:ptCount val="11"/>
                <c:pt idx="0">
                  <c:v>Telefonia, energia elétrica e demais itens de telecomunicações</c:v>
                </c:pt>
                <c:pt idx="1">
                  <c:v>Hospedagem do site</c:v>
                </c:pt>
                <c:pt idx="2">
                  <c:v>Internet móvel</c:v>
                </c:pt>
                <c:pt idx="3">
                  <c:v>Assessoria jurídica</c:v>
                </c:pt>
                <c:pt idx="4">
                  <c:v>Promotor de venda</c:v>
                </c:pt>
                <c:pt idx="5">
                  <c:v>Camiseta promotor de venda</c:v>
                </c:pt>
                <c:pt idx="6">
                  <c:v>Digital influencer</c:v>
                </c:pt>
                <c:pt idx="7">
                  <c:v>Software de escritório e TI</c:v>
                </c:pt>
                <c:pt idx="8">
                  <c:v>Aluguel/Condomínio</c:v>
                </c:pt>
                <c:pt idx="9">
                  <c:v>Contador</c:v>
                </c:pt>
                <c:pt idx="10">
                  <c:v>Material de escritório, limpeza etc.</c:v>
                </c:pt>
              </c:strCache>
            </c:strRef>
          </c:cat>
          <c:val>
            <c:numRef>
              <c:f>Despesas!$E$20:$E$30</c:f>
              <c:numCache>
                <c:formatCode>_(* #,##0.00_);_(* \(#,##0.00\);_(* "-"??_);_(@_)</c:formatCode>
                <c:ptCount val="11"/>
                <c:pt idx="0">
                  <c:v>9600</c:v>
                </c:pt>
                <c:pt idx="1">
                  <c:v>1200</c:v>
                </c:pt>
                <c:pt idx="2">
                  <c:v>5938.9199999999992</c:v>
                </c:pt>
                <c:pt idx="3">
                  <c:v>12000</c:v>
                </c:pt>
                <c:pt idx="4">
                  <c:v>154440</c:v>
                </c:pt>
                <c:pt idx="5">
                  <c:v>28800</c:v>
                </c:pt>
                <c:pt idx="6">
                  <c:v>144000</c:v>
                </c:pt>
                <c:pt idx="7">
                  <c:v>37284</c:v>
                </c:pt>
                <c:pt idx="8">
                  <c:v>180000</c:v>
                </c:pt>
                <c:pt idx="9">
                  <c:v>12000</c:v>
                </c:pt>
                <c:pt idx="10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84-48F4-8636-77DAEDE1AE60}"/>
            </c:ext>
          </c:extLst>
        </c:ser>
        <c:ser>
          <c:idx val="4"/>
          <c:order val="4"/>
          <c:tx>
            <c:strRef>
              <c:f>Despesas!$F$19</c:f>
              <c:strCache>
                <c:ptCount val="1"/>
                <c:pt idx="0">
                  <c:v>Ano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Despesas!$A$20:$A$30</c:f>
              <c:strCache>
                <c:ptCount val="11"/>
                <c:pt idx="0">
                  <c:v>Telefonia, energia elétrica e demais itens de telecomunicações</c:v>
                </c:pt>
                <c:pt idx="1">
                  <c:v>Hospedagem do site</c:v>
                </c:pt>
                <c:pt idx="2">
                  <c:v>Internet móvel</c:v>
                </c:pt>
                <c:pt idx="3">
                  <c:v>Assessoria jurídica</c:v>
                </c:pt>
                <c:pt idx="4">
                  <c:v>Promotor de venda</c:v>
                </c:pt>
                <c:pt idx="5">
                  <c:v>Camiseta promotor de venda</c:v>
                </c:pt>
                <c:pt idx="6">
                  <c:v>Digital influencer</c:v>
                </c:pt>
                <c:pt idx="7">
                  <c:v>Software de escritório e TI</c:v>
                </c:pt>
                <c:pt idx="8">
                  <c:v>Aluguel/Condomínio</c:v>
                </c:pt>
                <c:pt idx="9">
                  <c:v>Contador</c:v>
                </c:pt>
                <c:pt idx="10">
                  <c:v>Material de escritório, limpeza etc.</c:v>
                </c:pt>
              </c:strCache>
            </c:strRef>
          </c:cat>
          <c:val>
            <c:numRef>
              <c:f>Despesas!$F$20:$F$30</c:f>
              <c:numCache>
                <c:formatCode>_(* #,##0.00_);_(* \(#,##0.00\);_(* "-"??_);_(@_)</c:formatCode>
                <c:ptCount val="11"/>
                <c:pt idx="0">
                  <c:v>16800</c:v>
                </c:pt>
                <c:pt idx="1">
                  <c:v>1200</c:v>
                </c:pt>
                <c:pt idx="2">
                  <c:v>7258.6800000000012</c:v>
                </c:pt>
                <c:pt idx="3">
                  <c:v>12000</c:v>
                </c:pt>
                <c:pt idx="4">
                  <c:v>205920</c:v>
                </c:pt>
                <c:pt idx="5">
                  <c:v>32400</c:v>
                </c:pt>
                <c:pt idx="6">
                  <c:v>180000</c:v>
                </c:pt>
                <c:pt idx="7">
                  <c:v>45888</c:v>
                </c:pt>
                <c:pt idx="8">
                  <c:v>180000</c:v>
                </c:pt>
                <c:pt idx="9">
                  <c:v>12000</c:v>
                </c:pt>
                <c:pt idx="10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84-48F4-8636-77DAEDE1A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3155576"/>
        <c:axId val="613154592"/>
      </c:barChart>
      <c:catAx>
        <c:axId val="61315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154592"/>
        <c:crosses val="autoZero"/>
        <c:auto val="1"/>
        <c:lblAlgn val="ctr"/>
        <c:lblOffset val="100"/>
        <c:noMultiLvlLbl val="0"/>
      </c:catAx>
      <c:valAx>
        <c:axId val="61315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15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Custos!$B$14</c:f>
              <c:strCache>
                <c:ptCount val="1"/>
                <c:pt idx="0">
                  <c:v> Ano 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Custos!$A$15:$A$20</c:f>
              <c:strCache>
                <c:ptCount val="6"/>
                <c:pt idx="0">
                  <c:v>Agência web (desenvolvimento do App)</c:v>
                </c:pt>
                <c:pt idx="1">
                  <c:v>Agência web (manutenção do App)</c:v>
                </c:pt>
                <c:pt idx="2">
                  <c:v>Deslocamento de representante comercial (combustivél + reembolso KM)</c:v>
                </c:pt>
                <c:pt idx="3">
                  <c:v>Reembolso de bebidas oferecidas pelos bares</c:v>
                </c:pt>
                <c:pt idx="4">
                  <c:v>Agência de marketing</c:v>
                </c:pt>
                <c:pt idx="5">
                  <c:v>Material de publicidade e toten</c:v>
                </c:pt>
              </c:strCache>
            </c:strRef>
          </c:cat>
          <c:val>
            <c:numRef>
              <c:f>Custos!$B$15:$B$20</c:f>
              <c:numCache>
                <c:formatCode>_(* #,##0.00_);_(* \(#,##0.00\);_(* "-"??_);_(@_)</c:formatCode>
                <c:ptCount val="6"/>
                <c:pt idx="0">
                  <c:v>200000</c:v>
                </c:pt>
                <c:pt idx="1">
                  <c:v>60000</c:v>
                </c:pt>
                <c:pt idx="2">
                  <c:v>20424</c:v>
                </c:pt>
                <c:pt idx="3">
                  <c:v>243936</c:v>
                </c:pt>
                <c:pt idx="4">
                  <c:v>48000</c:v>
                </c:pt>
                <c:pt idx="5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0-4169-B65E-5929841C5D0D}"/>
            </c:ext>
          </c:extLst>
        </c:ser>
        <c:ser>
          <c:idx val="1"/>
          <c:order val="1"/>
          <c:tx>
            <c:strRef>
              <c:f>Custos!$C$14</c:f>
              <c:strCache>
                <c:ptCount val="1"/>
                <c:pt idx="0">
                  <c:v> Ano 2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Custos!$A$15:$A$20</c:f>
              <c:strCache>
                <c:ptCount val="6"/>
                <c:pt idx="0">
                  <c:v>Agência web (desenvolvimento do App)</c:v>
                </c:pt>
                <c:pt idx="1">
                  <c:v>Agência web (manutenção do App)</c:v>
                </c:pt>
                <c:pt idx="2">
                  <c:v>Deslocamento de representante comercial (combustivél + reembolso KM)</c:v>
                </c:pt>
                <c:pt idx="3">
                  <c:v>Reembolso de bebidas oferecidas pelos bares</c:v>
                </c:pt>
                <c:pt idx="4">
                  <c:v>Agência de marketing</c:v>
                </c:pt>
                <c:pt idx="5">
                  <c:v>Material de publicidade e toten</c:v>
                </c:pt>
              </c:strCache>
            </c:strRef>
          </c:cat>
          <c:val>
            <c:numRef>
              <c:f>Custos!$C$15:$C$20</c:f>
              <c:numCache>
                <c:formatCode>_(* #,##0.00_);_(* \(#,##0.00\);_(* "-"??_);_(@_)</c:formatCode>
                <c:ptCount val="6"/>
                <c:pt idx="0">
                  <c:v>50000</c:v>
                </c:pt>
                <c:pt idx="1">
                  <c:v>120000</c:v>
                </c:pt>
                <c:pt idx="2">
                  <c:v>40848</c:v>
                </c:pt>
                <c:pt idx="3">
                  <c:v>650496</c:v>
                </c:pt>
                <c:pt idx="4">
                  <c:v>72000</c:v>
                </c:pt>
                <c:pt idx="5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0-4169-B65E-5929841C5D0D}"/>
            </c:ext>
          </c:extLst>
        </c:ser>
        <c:ser>
          <c:idx val="2"/>
          <c:order val="2"/>
          <c:tx>
            <c:strRef>
              <c:f>Custos!$D$14</c:f>
              <c:strCache>
                <c:ptCount val="1"/>
                <c:pt idx="0">
                  <c:v> Ano 3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Custos!$A$15:$A$20</c:f>
              <c:strCache>
                <c:ptCount val="6"/>
                <c:pt idx="0">
                  <c:v>Agência web (desenvolvimento do App)</c:v>
                </c:pt>
                <c:pt idx="1">
                  <c:v>Agência web (manutenção do App)</c:v>
                </c:pt>
                <c:pt idx="2">
                  <c:v>Deslocamento de representante comercial (combustivél + reembolso KM)</c:v>
                </c:pt>
                <c:pt idx="3">
                  <c:v>Reembolso de bebidas oferecidas pelos bares</c:v>
                </c:pt>
                <c:pt idx="4">
                  <c:v>Agência de marketing</c:v>
                </c:pt>
                <c:pt idx="5">
                  <c:v>Material de publicidade e toten</c:v>
                </c:pt>
              </c:strCache>
            </c:strRef>
          </c:cat>
          <c:val>
            <c:numRef>
              <c:f>Custos!$D$15:$D$20</c:f>
              <c:numCache>
                <c:formatCode>_(* #,##0.00_);_(* \(#,##0.00\);_(* "-"??_);_(@_)</c:formatCode>
                <c:ptCount val="6"/>
                <c:pt idx="0">
                  <c:v>50000</c:v>
                </c:pt>
                <c:pt idx="1">
                  <c:v>120000</c:v>
                </c:pt>
                <c:pt idx="2">
                  <c:v>61272</c:v>
                </c:pt>
                <c:pt idx="3">
                  <c:v>609840</c:v>
                </c:pt>
                <c:pt idx="4">
                  <c:v>96000</c:v>
                </c:pt>
                <c:pt idx="5">
                  <c:v>72000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60-4169-B65E-5929841C5D0D}"/>
            </c:ext>
          </c:extLst>
        </c:ser>
        <c:ser>
          <c:idx val="3"/>
          <c:order val="3"/>
          <c:tx>
            <c:strRef>
              <c:f>Custos!$E$14</c:f>
              <c:strCache>
                <c:ptCount val="1"/>
                <c:pt idx="0">
                  <c:v> Ano 4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Custos!$A$15:$A$20</c:f>
              <c:strCache>
                <c:ptCount val="6"/>
                <c:pt idx="0">
                  <c:v>Agência web (desenvolvimento do App)</c:v>
                </c:pt>
                <c:pt idx="1">
                  <c:v>Agência web (manutenção do App)</c:v>
                </c:pt>
                <c:pt idx="2">
                  <c:v>Deslocamento de representante comercial (combustivél + reembolso KM)</c:v>
                </c:pt>
                <c:pt idx="3">
                  <c:v>Reembolso de bebidas oferecidas pelos bares</c:v>
                </c:pt>
                <c:pt idx="4">
                  <c:v>Agência de marketing</c:v>
                </c:pt>
                <c:pt idx="5">
                  <c:v>Material de publicidade e toten</c:v>
                </c:pt>
              </c:strCache>
            </c:strRef>
          </c:cat>
          <c:val>
            <c:numRef>
              <c:f>Custos!$E$15:$E$20</c:f>
              <c:numCache>
                <c:formatCode>_(* #,##0.00_);_(* \(#,##0.00\);_(* "-"??_);_(@_)</c:formatCode>
                <c:ptCount val="6"/>
                <c:pt idx="0">
                  <c:v>50000</c:v>
                </c:pt>
                <c:pt idx="1">
                  <c:v>120000</c:v>
                </c:pt>
                <c:pt idx="2">
                  <c:v>81696</c:v>
                </c:pt>
                <c:pt idx="3">
                  <c:v>975744</c:v>
                </c:pt>
                <c:pt idx="4">
                  <c:v>124000</c:v>
                </c:pt>
                <c:pt idx="5">
                  <c:v>102000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60-4169-B65E-5929841C5D0D}"/>
            </c:ext>
          </c:extLst>
        </c:ser>
        <c:ser>
          <c:idx val="4"/>
          <c:order val="4"/>
          <c:tx>
            <c:strRef>
              <c:f>Custos!$F$14</c:f>
              <c:strCache>
                <c:ptCount val="1"/>
                <c:pt idx="0">
                  <c:v> Ano 5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Custos!$A$15:$A$20</c:f>
              <c:strCache>
                <c:ptCount val="6"/>
                <c:pt idx="0">
                  <c:v>Agência web (desenvolvimento do App)</c:v>
                </c:pt>
                <c:pt idx="1">
                  <c:v>Agência web (manutenção do App)</c:v>
                </c:pt>
                <c:pt idx="2">
                  <c:v>Deslocamento de representante comercial (combustivél + reembolso KM)</c:v>
                </c:pt>
                <c:pt idx="3">
                  <c:v>Reembolso de bebidas oferecidas pelos bares</c:v>
                </c:pt>
                <c:pt idx="4">
                  <c:v>Agência de marketing</c:v>
                </c:pt>
                <c:pt idx="5">
                  <c:v>Material de publicidade e toten</c:v>
                </c:pt>
              </c:strCache>
            </c:strRef>
          </c:cat>
          <c:val>
            <c:numRef>
              <c:f>Custos!$F$15:$F$20</c:f>
              <c:numCache>
                <c:formatCode>_(* #,##0.00_);_(* \(#,##0.00\);_(* "-"??_);_(@_)</c:formatCode>
                <c:ptCount val="6"/>
                <c:pt idx="0">
                  <c:v>50000</c:v>
                </c:pt>
                <c:pt idx="1">
                  <c:v>120000</c:v>
                </c:pt>
                <c:pt idx="2">
                  <c:v>102120</c:v>
                </c:pt>
                <c:pt idx="3">
                  <c:v>1300992</c:v>
                </c:pt>
                <c:pt idx="4">
                  <c:v>144000</c:v>
                </c:pt>
                <c:pt idx="5">
                  <c:v>132000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60-4169-B65E-5929841C5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689352"/>
        <c:axId val="523309472"/>
      </c:barChart>
      <c:catAx>
        <c:axId val="51068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09472"/>
        <c:crosses val="autoZero"/>
        <c:auto val="1"/>
        <c:lblAlgn val="ctr"/>
        <c:lblOffset val="100"/>
        <c:noMultiLvlLbl val="0"/>
      </c:catAx>
      <c:valAx>
        <c:axId val="5233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8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Evolução</a:t>
            </a:r>
            <a:r>
              <a:rPr lang="en-US" baseline="0"/>
              <a:t> do quadro de funcionários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Funcionários!$A$42</c:f>
              <c:strCache>
                <c:ptCount val="1"/>
                <c:pt idx="0">
                  <c:v> CEO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Funcionários!$B$40:$F$40</c:f>
              <c:strCache>
                <c:ptCount val="5"/>
                <c:pt idx="0">
                  <c:v> Ano 1 </c:v>
                </c:pt>
                <c:pt idx="1">
                  <c:v> Ano 2 </c:v>
                </c:pt>
                <c:pt idx="2">
                  <c:v> Ano 3 </c:v>
                </c:pt>
                <c:pt idx="3">
                  <c:v> Ano 4 </c:v>
                </c:pt>
                <c:pt idx="4">
                  <c:v> Ano 5 </c:v>
                </c:pt>
              </c:strCache>
            </c:strRef>
          </c:cat>
          <c:val>
            <c:numRef>
              <c:f>Funcionários!$B$42:$F$42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2-434B-9E35-B4C22C01D2FE}"/>
            </c:ext>
          </c:extLst>
        </c:ser>
        <c:ser>
          <c:idx val="1"/>
          <c:order val="1"/>
          <c:tx>
            <c:strRef>
              <c:f>Funcionários!$A$43</c:f>
              <c:strCache>
                <c:ptCount val="1"/>
                <c:pt idx="0">
                  <c:v> Analista adm-financeiro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Funcionários!$B$40:$F$40</c:f>
              <c:strCache>
                <c:ptCount val="5"/>
                <c:pt idx="0">
                  <c:v> Ano 1 </c:v>
                </c:pt>
                <c:pt idx="1">
                  <c:v> Ano 2 </c:v>
                </c:pt>
                <c:pt idx="2">
                  <c:v> Ano 3 </c:v>
                </c:pt>
                <c:pt idx="3">
                  <c:v> Ano 4 </c:v>
                </c:pt>
                <c:pt idx="4">
                  <c:v> Ano 5 </c:v>
                </c:pt>
              </c:strCache>
            </c:strRef>
          </c:cat>
          <c:val>
            <c:numRef>
              <c:f>Funcionários!$B$43:$F$43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C2-434B-9E35-B4C22C01D2FE}"/>
            </c:ext>
          </c:extLst>
        </c:ser>
        <c:ser>
          <c:idx val="2"/>
          <c:order val="2"/>
          <c:tx>
            <c:strRef>
              <c:f>Funcionários!$A$45</c:f>
              <c:strCache>
                <c:ptCount val="1"/>
                <c:pt idx="0">
                  <c:v> Representante comercial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Funcionários!$B$40:$F$40</c:f>
              <c:strCache>
                <c:ptCount val="5"/>
                <c:pt idx="0">
                  <c:v> Ano 1 </c:v>
                </c:pt>
                <c:pt idx="1">
                  <c:v> Ano 2 </c:v>
                </c:pt>
                <c:pt idx="2">
                  <c:v> Ano 3 </c:v>
                </c:pt>
                <c:pt idx="3">
                  <c:v> Ano 4 </c:v>
                </c:pt>
                <c:pt idx="4">
                  <c:v> Ano 5 </c:v>
                </c:pt>
              </c:strCache>
            </c:strRef>
          </c:cat>
          <c:val>
            <c:numRef>
              <c:f>Funcionários!$B$45:$F$45</c:f>
              <c:numCache>
                <c:formatCode>_(* #,##0_);_(* \(#,##0\);_(* "-"??_);_(@_)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C2-434B-9E35-B4C22C01D2FE}"/>
            </c:ext>
          </c:extLst>
        </c:ser>
        <c:ser>
          <c:idx val="3"/>
          <c:order val="3"/>
          <c:tx>
            <c:strRef>
              <c:f>Funcionários!$A$46</c:f>
              <c:strCache>
                <c:ptCount val="1"/>
                <c:pt idx="0">
                  <c:v> Supervisor de promoção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Funcionários!$B$40:$F$40</c:f>
              <c:strCache>
                <c:ptCount val="5"/>
                <c:pt idx="0">
                  <c:v> Ano 1 </c:v>
                </c:pt>
                <c:pt idx="1">
                  <c:v> Ano 2 </c:v>
                </c:pt>
                <c:pt idx="2">
                  <c:v> Ano 3 </c:v>
                </c:pt>
                <c:pt idx="3">
                  <c:v> Ano 4 </c:v>
                </c:pt>
                <c:pt idx="4">
                  <c:v> Ano 5 </c:v>
                </c:pt>
              </c:strCache>
            </c:strRef>
          </c:cat>
          <c:val>
            <c:numRef>
              <c:f>Funcionários!$B$46:$F$46</c:f>
              <c:numCache>
                <c:formatCode>_(* #,##0_);_(* \(#,##0\);_(* "-"??_);_(@_)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C2-434B-9E35-B4C22C01D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378544"/>
        <c:axId val="400378216"/>
      </c:barChart>
      <c:lineChart>
        <c:grouping val="standard"/>
        <c:varyColors val="0"/>
        <c:ser>
          <c:idx val="4"/>
          <c:order val="4"/>
          <c:tx>
            <c:strRef>
              <c:f>Funcionários!$A$47</c:f>
              <c:strCache>
                <c:ptCount val="1"/>
                <c:pt idx="0">
                  <c:v> TOTAL DE FUNCIONÁRIOS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Funcionários!$B$40:$F$40</c:f>
              <c:strCache>
                <c:ptCount val="5"/>
                <c:pt idx="0">
                  <c:v> Ano 1 </c:v>
                </c:pt>
                <c:pt idx="1">
                  <c:v> Ano 2 </c:v>
                </c:pt>
                <c:pt idx="2">
                  <c:v> Ano 3 </c:v>
                </c:pt>
                <c:pt idx="3">
                  <c:v> Ano 4 </c:v>
                </c:pt>
                <c:pt idx="4">
                  <c:v> Ano 5 </c:v>
                </c:pt>
              </c:strCache>
            </c:strRef>
          </c:cat>
          <c:val>
            <c:numRef>
              <c:f>Funcionários!$B$47:$F$47</c:f>
              <c:numCache>
                <c:formatCode>_(* #,##0_);_(* \(#,##0\);_(* "-"??_);_(@_)</c:formatCode>
                <c:ptCount val="5"/>
                <c:pt idx="0">
                  <c:v>6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C2-434B-9E35-B4C22C01D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378544"/>
        <c:axId val="400378216"/>
      </c:lineChart>
      <c:catAx>
        <c:axId val="4003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378216"/>
        <c:crosses val="autoZero"/>
        <c:auto val="1"/>
        <c:lblAlgn val="ctr"/>
        <c:lblOffset val="100"/>
        <c:noMultiLvlLbl val="0"/>
      </c:catAx>
      <c:valAx>
        <c:axId val="400378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37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669583000132524E-2"/>
          <c:y val="0.16318796918637404"/>
          <c:w val="0.88913489400119405"/>
          <c:h val="0.79506696615221617"/>
        </c:manualLayout>
      </c:layout>
      <c:lineChart>
        <c:grouping val="standard"/>
        <c:varyColors val="0"/>
        <c:ser>
          <c:idx val="0"/>
          <c:order val="0"/>
          <c:tx>
            <c:strRef>
              <c:f>Resultados!$A$22</c:f>
              <c:strCache>
                <c:ptCount val="1"/>
                <c:pt idx="0">
                  <c:v>Caixa Acumulado [R$]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Resultados!$B$22:$BI$22</c:f>
              <c:numCache>
                <c:formatCode>_("R$ "* #,##0.00_);_("R$ "* \(#,##0.00\);_("R$ "* "-"??_);_(@_)</c:formatCode>
                <c:ptCount val="60"/>
                <c:pt idx="0">
                  <c:v>-107552.4135</c:v>
                </c:pt>
                <c:pt idx="1">
                  <c:v>-121054.82699999999</c:v>
                </c:pt>
                <c:pt idx="2">
                  <c:v>-185907.24049999999</c:v>
                </c:pt>
                <c:pt idx="3">
                  <c:v>-200759.65399999998</c:v>
                </c:pt>
                <c:pt idx="4">
                  <c:v>-265672.0675</c:v>
                </c:pt>
                <c:pt idx="5">
                  <c:v>-280584.48100000003</c:v>
                </c:pt>
                <c:pt idx="6">
                  <c:v>-298496.89450000005</c:v>
                </c:pt>
                <c:pt idx="7">
                  <c:v>-366409.30800000008</c:v>
                </c:pt>
                <c:pt idx="8">
                  <c:v>-384501.7215000001</c:v>
                </c:pt>
                <c:pt idx="9">
                  <c:v>-402594.13500000013</c:v>
                </c:pt>
                <c:pt idx="10">
                  <c:v>-420686.54850000015</c:v>
                </c:pt>
                <c:pt idx="11">
                  <c:v>-460778.96200000017</c:v>
                </c:pt>
                <c:pt idx="12">
                  <c:v>-519755.44600000017</c:v>
                </c:pt>
                <c:pt idx="13">
                  <c:v>-528731.93000000017</c:v>
                </c:pt>
                <c:pt idx="14">
                  <c:v>-537708.41400000022</c:v>
                </c:pt>
                <c:pt idx="15">
                  <c:v>-546684.89800000028</c:v>
                </c:pt>
                <c:pt idx="16">
                  <c:v>-555661.38200000033</c:v>
                </c:pt>
                <c:pt idx="17">
                  <c:v>-564637.86600000039</c:v>
                </c:pt>
                <c:pt idx="18">
                  <c:v>-573614.35000000044</c:v>
                </c:pt>
                <c:pt idx="19">
                  <c:v>-582590.8340000005</c:v>
                </c:pt>
                <c:pt idx="20">
                  <c:v>-591567.31800000055</c:v>
                </c:pt>
                <c:pt idx="21">
                  <c:v>-600543.80200000061</c:v>
                </c:pt>
                <c:pt idx="22">
                  <c:v>-609520.28600000066</c:v>
                </c:pt>
                <c:pt idx="23">
                  <c:v>-651496.77000000072</c:v>
                </c:pt>
                <c:pt idx="24">
                  <c:v>-632747.81917500077</c:v>
                </c:pt>
                <c:pt idx="25">
                  <c:v>-580998.86835000082</c:v>
                </c:pt>
                <c:pt idx="26">
                  <c:v>-529249.91752500087</c:v>
                </c:pt>
                <c:pt idx="27">
                  <c:v>-477500.96670000086</c:v>
                </c:pt>
                <c:pt idx="28">
                  <c:v>-425752.01587500086</c:v>
                </c:pt>
                <c:pt idx="29">
                  <c:v>-374003.06505000085</c:v>
                </c:pt>
                <c:pt idx="30">
                  <c:v>-322254.11422500084</c:v>
                </c:pt>
                <c:pt idx="31">
                  <c:v>-270505.16340000083</c:v>
                </c:pt>
                <c:pt idx="32">
                  <c:v>-218756.21257500083</c:v>
                </c:pt>
                <c:pt idx="33">
                  <c:v>-167007.26175000082</c:v>
                </c:pt>
                <c:pt idx="34">
                  <c:v>-115258.31092500081</c:v>
                </c:pt>
                <c:pt idx="35">
                  <c:v>-78029.360100000806</c:v>
                </c:pt>
                <c:pt idx="36">
                  <c:v>-5755.149300000834</c:v>
                </c:pt>
                <c:pt idx="37">
                  <c:v>99519.061499999138</c:v>
                </c:pt>
                <c:pt idx="38">
                  <c:v>204793.27229999911</c:v>
                </c:pt>
                <c:pt idx="39">
                  <c:v>310067.48309999908</c:v>
                </c:pt>
                <c:pt idx="40">
                  <c:v>415341.69389999902</c:v>
                </c:pt>
                <c:pt idx="41">
                  <c:v>520615.90469999902</c:v>
                </c:pt>
                <c:pt idx="42">
                  <c:v>625890.11549999902</c:v>
                </c:pt>
                <c:pt idx="43">
                  <c:v>731164.32629999903</c:v>
                </c:pt>
                <c:pt idx="44">
                  <c:v>836438.53709999903</c:v>
                </c:pt>
                <c:pt idx="45">
                  <c:v>941712.74789999903</c:v>
                </c:pt>
                <c:pt idx="46">
                  <c:v>1043686.958699999</c:v>
                </c:pt>
                <c:pt idx="47">
                  <c:v>1131141.1694999989</c:v>
                </c:pt>
                <c:pt idx="48">
                  <c:v>1251686.6978999989</c:v>
                </c:pt>
                <c:pt idx="49">
                  <c:v>1405232.2262999988</c:v>
                </c:pt>
                <c:pt idx="50">
                  <c:v>1558777.7546999988</c:v>
                </c:pt>
                <c:pt idx="51">
                  <c:v>1712323.2830999987</c:v>
                </c:pt>
                <c:pt idx="52">
                  <c:v>1865868.8114999987</c:v>
                </c:pt>
                <c:pt idx="53">
                  <c:v>2019414.3398999986</c:v>
                </c:pt>
                <c:pt idx="54">
                  <c:v>2172959.8682999988</c:v>
                </c:pt>
                <c:pt idx="55">
                  <c:v>2326505.396699999</c:v>
                </c:pt>
                <c:pt idx="56">
                  <c:v>2480050.9250999992</c:v>
                </c:pt>
                <c:pt idx="57">
                  <c:v>2633596.4534999994</c:v>
                </c:pt>
                <c:pt idx="58">
                  <c:v>2787141.9818999995</c:v>
                </c:pt>
                <c:pt idx="59">
                  <c:v>2918907.5102999997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27-4627-A82C-3F7405316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6170064"/>
        <c:axId val="2086170608"/>
      </c:lineChart>
      <c:catAx>
        <c:axId val="208617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170608"/>
        <c:crosses val="autoZero"/>
        <c:auto val="1"/>
        <c:lblAlgn val="ctr"/>
        <c:lblOffset val="100"/>
        <c:noMultiLvlLbl val="0"/>
      </c:catAx>
      <c:valAx>
        <c:axId val="208617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17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29765</xdr:colOff>
      <xdr:row>43</xdr:row>
      <xdr:rowOff>188117</xdr:rowOff>
    </xdr:from>
    <xdr:to>
      <xdr:col>20</xdr:col>
      <xdr:colOff>297655</xdr:colOff>
      <xdr:row>66</xdr:row>
      <xdr:rowOff>166686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CFFE77-C3C0-43F2-9776-BF1DF4EB54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6802</xdr:colOff>
      <xdr:row>19</xdr:row>
      <xdr:rowOff>43543</xdr:rowOff>
    </xdr:from>
    <xdr:to>
      <xdr:col>9</xdr:col>
      <xdr:colOff>1074964</xdr:colOff>
      <xdr:row>47</xdr:row>
      <xdr:rowOff>176893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5A50EEA-D070-4859-A9C3-75E4477E99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20409</xdr:colOff>
      <xdr:row>18</xdr:row>
      <xdr:rowOff>179614</xdr:rowOff>
    </xdr:from>
    <xdr:to>
      <xdr:col>10</xdr:col>
      <xdr:colOff>734785</xdr:colOff>
      <xdr:row>47</xdr:row>
      <xdr:rowOff>163286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F4E2CF8-2402-4275-A43C-E0ACD5C900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</xdr:colOff>
      <xdr:row>32</xdr:row>
      <xdr:rowOff>4234</xdr:rowOff>
    </xdr:from>
    <xdr:to>
      <xdr:col>7</xdr:col>
      <xdr:colOff>910165</xdr:colOff>
      <xdr:row>53</xdr:row>
      <xdr:rowOff>74084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1A0105-8E9D-486F-8F71-7A66EF2174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4878917</xdr:colOff>
      <xdr:row>22</xdr:row>
      <xdr:rowOff>78317</xdr:rowOff>
    </xdr:from>
    <xdr:to>
      <xdr:col>7</xdr:col>
      <xdr:colOff>888999</xdr:colOff>
      <xdr:row>45</xdr:row>
      <xdr:rowOff>148167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8B8854-DE94-49C9-ADD9-1145CAF1EB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52922</xdr:colOff>
      <xdr:row>48</xdr:row>
      <xdr:rowOff>9524</xdr:rowOff>
    </xdr:from>
    <xdr:to>
      <xdr:col>7</xdr:col>
      <xdr:colOff>825499</xdr:colOff>
      <xdr:row>73</xdr:row>
      <xdr:rowOff>116417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A364F8F-5A52-4C66-B135-054FB479DF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49</xdr:row>
      <xdr:rowOff>23279</xdr:rowOff>
    </xdr:from>
    <xdr:to>
      <xdr:col>7</xdr:col>
      <xdr:colOff>1129393</xdr:colOff>
      <xdr:row>87</xdr:row>
      <xdr:rowOff>13606</xdr:rowOff>
    </xdr:to>
    <xdr:graphicFrame macro="">
      <xdr:nvGraphicFramePr>
        <xdr:cNvPr id="9217" name="Chart 3">
          <a:extLst>
            <a:ext uri="{FF2B5EF4-FFF2-40B4-BE49-F238E27FC236}">
              <a16:creationId xmlns:a16="http://schemas.microsoft.com/office/drawing/2014/main" id="{00000000-0008-0000-06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zoomScaleNormal="100" zoomScalePageLayoutView="85" workbookViewId="0">
      <selection activeCell="H28" sqref="H28"/>
    </sheetView>
  </sheetViews>
  <sheetFormatPr defaultColWidth="8.85546875" defaultRowHeight="15"/>
  <cols>
    <col min="1" max="1" width="85.140625" customWidth="1"/>
    <col min="2" max="2" width="14.5703125" customWidth="1"/>
    <col min="3" max="3" width="14.140625" customWidth="1"/>
    <col min="4" max="5" width="14.28515625" bestFit="1" customWidth="1"/>
    <col min="6" max="6" width="15.28515625" bestFit="1" customWidth="1"/>
    <col min="7" max="7" width="12.28515625" customWidth="1"/>
    <col min="8" max="9" width="10.7109375" bestFit="1" customWidth="1"/>
    <col min="12" max="12" width="11.140625" customWidth="1"/>
  </cols>
  <sheetData>
    <row r="1" spans="1:5" s="4" customFormat="1" ht="18">
      <c r="A1" s="50" t="s">
        <v>98</v>
      </c>
      <c r="B1" s="51"/>
      <c r="C1" s="2"/>
      <c r="D1" s="3"/>
    </row>
    <row r="2" spans="1:5" s="4" customFormat="1">
      <c r="A2" s="5" t="str">
        <f>CONCATENATE(Company, ": ",start, " -  ",end)</f>
        <v>Crush: Mês 1 -  Mês 60</v>
      </c>
      <c r="B2" s="6"/>
      <c r="C2" s="2"/>
      <c r="D2" s="3"/>
    </row>
    <row r="3" spans="1:5" s="4" customFormat="1">
      <c r="A3" s="7"/>
      <c r="B3" s="65"/>
      <c r="C3" s="49"/>
    </row>
    <row r="4" spans="1:5" s="4" customFormat="1" ht="28.5" customHeight="1">
      <c r="A4" s="224" t="s">
        <v>99</v>
      </c>
      <c r="B4" s="224"/>
      <c r="C4" s="224"/>
      <c r="D4" s="224"/>
      <c r="E4" s="224"/>
    </row>
    <row r="5" spans="1:5" s="4" customFormat="1" ht="14.25">
      <c r="A5" s="48"/>
      <c r="B5" s="47"/>
      <c r="C5" s="8"/>
    </row>
    <row r="6" spans="1:5" s="9" customFormat="1" ht="15.75">
      <c r="A6" s="52" t="s">
        <v>70</v>
      </c>
      <c r="B6" s="52"/>
      <c r="C6" s="3"/>
    </row>
    <row r="7" spans="1:5" s="10" customFormat="1" ht="12.75">
      <c r="A7" s="11" t="s">
        <v>50</v>
      </c>
      <c r="B7" s="8" t="s">
        <v>143</v>
      </c>
    </row>
    <row r="8" spans="1:5" s="10" customFormat="1" ht="12.75">
      <c r="A8" s="11" t="s">
        <v>51</v>
      </c>
      <c r="B8" s="8" t="s">
        <v>52</v>
      </c>
    </row>
    <row r="9" spans="1:5" s="10" customFormat="1" ht="12.75">
      <c r="A9" s="11" t="s">
        <v>53</v>
      </c>
      <c r="B9" s="8" t="s">
        <v>92</v>
      </c>
    </row>
    <row r="10" spans="1:5" s="10" customFormat="1" ht="12.75">
      <c r="A10" s="11" t="s">
        <v>54</v>
      </c>
      <c r="B10" s="8" t="s">
        <v>55</v>
      </c>
    </row>
    <row r="11" spans="1:5" s="10" customFormat="1" ht="12.75">
      <c r="A11" s="11" t="s">
        <v>56</v>
      </c>
      <c r="B11" s="8" t="s">
        <v>57</v>
      </c>
    </row>
    <row r="12" spans="1:5" s="10" customFormat="1">
      <c r="A12" s="12"/>
      <c r="B12" s="1"/>
    </row>
    <row r="13" spans="1:5" s="10" customFormat="1">
      <c r="A13" s="13"/>
      <c r="B13" s="1"/>
      <c r="C13" s="3"/>
    </row>
    <row r="14" spans="1:5">
      <c r="A14" s="60" t="s">
        <v>105</v>
      </c>
      <c r="B14" s="61"/>
    </row>
    <row r="15" spans="1:5">
      <c r="A15" s="63" t="s">
        <v>123</v>
      </c>
      <c r="B15" s="62">
        <v>2.2499999999999999E-2</v>
      </c>
      <c r="C15" s="185" t="s">
        <v>183</v>
      </c>
    </row>
    <row r="16" spans="1:5">
      <c r="A16" s="63" t="s">
        <v>132</v>
      </c>
      <c r="B16" s="96">
        <v>0.05</v>
      </c>
    </row>
    <row r="17" spans="1:10">
      <c r="A17" s="63" t="s">
        <v>88</v>
      </c>
      <c r="B17" s="96">
        <v>3.6499999999999998E-2</v>
      </c>
    </row>
    <row r="18" spans="1:10">
      <c r="A18" s="63" t="s">
        <v>104</v>
      </c>
      <c r="B18" s="96">
        <f>ISS+B17</f>
        <v>8.6499999999999994E-2</v>
      </c>
    </row>
    <row r="19" spans="1:10">
      <c r="A19" s="63" t="s">
        <v>124</v>
      </c>
      <c r="B19" s="96">
        <v>0.25</v>
      </c>
    </row>
    <row r="20" spans="1:10">
      <c r="A20" s="63" t="s">
        <v>79</v>
      </c>
      <c r="B20" s="96">
        <v>0.09</v>
      </c>
    </row>
    <row r="22" spans="1:10" s="46" customFormat="1">
      <c r="A22" s="44" t="s">
        <v>150</v>
      </c>
      <c r="B22" s="45" t="s">
        <v>93</v>
      </c>
      <c r="C22" s="45" t="s">
        <v>94</v>
      </c>
      <c r="D22" s="45" t="s">
        <v>95</v>
      </c>
      <c r="E22" s="45" t="s">
        <v>96</v>
      </c>
      <c r="F22" s="45" t="s">
        <v>97</v>
      </c>
      <c r="G22" s="91"/>
    </row>
    <row r="23" spans="1:10">
      <c r="A23" s="64" t="s">
        <v>125</v>
      </c>
      <c r="B23" s="139">
        <v>20</v>
      </c>
      <c r="C23" s="139">
        <v>30</v>
      </c>
      <c r="D23" s="139">
        <v>50</v>
      </c>
      <c r="E23" s="139">
        <v>50</v>
      </c>
      <c r="F23" s="139">
        <v>50</v>
      </c>
      <c r="G23" s="43"/>
    </row>
    <row r="24" spans="1:10">
      <c r="A24" s="64" t="s">
        <v>184</v>
      </c>
      <c r="B24" s="139">
        <v>15</v>
      </c>
      <c r="C24" s="139">
        <v>15</v>
      </c>
      <c r="D24" s="139">
        <v>20</v>
      </c>
      <c r="E24" s="139">
        <v>30</v>
      </c>
      <c r="F24" s="139">
        <v>30</v>
      </c>
      <c r="G24" s="28"/>
      <c r="H24" s="93"/>
      <c r="I24" s="93"/>
      <c r="J24" s="95"/>
    </row>
    <row r="25" spans="1:10">
      <c r="A25" s="64" t="s">
        <v>158</v>
      </c>
      <c r="B25" s="139">
        <v>1680</v>
      </c>
      <c r="C25" s="139">
        <v>1680</v>
      </c>
      <c r="D25" s="139">
        <v>1680</v>
      </c>
      <c r="E25" s="139">
        <v>1680</v>
      </c>
      <c r="F25" s="139">
        <v>1680</v>
      </c>
      <c r="G25" s="28"/>
    </row>
    <row r="26" spans="1:10">
      <c r="A26" s="64" t="s">
        <v>159</v>
      </c>
      <c r="B26" s="139">
        <v>3360</v>
      </c>
      <c r="C26" s="139">
        <v>3360</v>
      </c>
      <c r="D26" s="139">
        <v>3360</v>
      </c>
      <c r="E26" s="139">
        <v>3360</v>
      </c>
      <c r="F26" s="139">
        <v>3360</v>
      </c>
      <c r="G26" s="28"/>
    </row>
    <row r="27" spans="1:10">
      <c r="A27" s="64" t="s">
        <v>160</v>
      </c>
      <c r="B27" s="139">
        <v>5040</v>
      </c>
      <c r="C27" s="139">
        <v>5040</v>
      </c>
      <c r="D27" s="139">
        <v>5040</v>
      </c>
      <c r="E27" s="139">
        <v>5040</v>
      </c>
      <c r="F27" s="139">
        <v>5040</v>
      </c>
      <c r="G27" s="28"/>
    </row>
    <row r="28" spans="1:10" s="46" customFormat="1">
      <c r="A28" s="44" t="s">
        <v>161</v>
      </c>
      <c r="B28" s="45" t="s">
        <v>93</v>
      </c>
      <c r="C28" s="45" t="s">
        <v>94</v>
      </c>
      <c r="D28" s="45" t="s">
        <v>95</v>
      </c>
      <c r="E28" s="45" t="s">
        <v>96</v>
      </c>
      <c r="F28" s="45" t="s">
        <v>97</v>
      </c>
      <c r="G28" s="53"/>
    </row>
    <row r="29" spans="1:10">
      <c r="A29" s="64" t="s">
        <v>162</v>
      </c>
      <c r="B29" s="41">
        <v>30</v>
      </c>
      <c r="C29" s="41">
        <v>40</v>
      </c>
      <c r="D29" s="41">
        <v>50</v>
      </c>
      <c r="E29" s="41">
        <v>60</v>
      </c>
      <c r="F29" s="41">
        <v>80</v>
      </c>
      <c r="G29" s="28"/>
    </row>
    <row r="30" spans="1:10">
      <c r="A30" s="64" t="s">
        <v>163</v>
      </c>
      <c r="B30">
        <f>0.3*B29</f>
        <v>9</v>
      </c>
      <c r="C30">
        <f t="shared" ref="C30:F30" si="0">0.3*C29</f>
        <v>12</v>
      </c>
      <c r="D30">
        <f t="shared" si="0"/>
        <v>15</v>
      </c>
      <c r="E30">
        <f t="shared" si="0"/>
        <v>18</v>
      </c>
      <c r="F30">
        <f t="shared" si="0"/>
        <v>24</v>
      </c>
      <c r="G30" s="28"/>
      <c r="H30" s="28"/>
    </row>
    <row r="31" spans="1:10">
      <c r="A31" s="64" t="s">
        <v>164</v>
      </c>
      <c r="B31">
        <f>0.1*B29</f>
        <v>3</v>
      </c>
      <c r="C31">
        <f t="shared" ref="C31:F31" si="1">0.1*C29</f>
        <v>4</v>
      </c>
      <c r="D31">
        <f t="shared" si="1"/>
        <v>5</v>
      </c>
      <c r="E31">
        <f t="shared" si="1"/>
        <v>6</v>
      </c>
      <c r="F31">
        <f t="shared" si="1"/>
        <v>8</v>
      </c>
      <c r="G31" s="28"/>
    </row>
    <row r="32" spans="1:10">
      <c r="A32" s="44" t="s">
        <v>166</v>
      </c>
      <c r="B32" s="45" t="s">
        <v>93</v>
      </c>
      <c r="C32" s="45" t="s">
        <v>94</v>
      </c>
      <c r="D32" s="45" t="s">
        <v>95</v>
      </c>
      <c r="E32" s="45" t="s">
        <v>96</v>
      </c>
      <c r="F32" s="45" t="s">
        <v>97</v>
      </c>
    </row>
    <row r="33" spans="1:10">
      <c r="A33" s="64" t="s">
        <v>162</v>
      </c>
      <c r="B33" s="41">
        <v>10</v>
      </c>
      <c r="C33" s="41">
        <v>20</v>
      </c>
      <c r="D33" s="41">
        <v>30</v>
      </c>
      <c r="E33" s="41">
        <v>40</v>
      </c>
      <c r="F33" s="41">
        <v>40</v>
      </c>
    </row>
    <row r="34" spans="1:10">
      <c r="A34" s="64" t="s">
        <v>163</v>
      </c>
      <c r="B34">
        <v>3</v>
      </c>
      <c r="C34">
        <f t="shared" ref="C34" si="2">0.3*C33</f>
        <v>6</v>
      </c>
      <c r="D34">
        <f t="shared" ref="D34" si="3">0.3*D33</f>
        <v>9</v>
      </c>
      <c r="E34">
        <f t="shared" ref="E34" si="4">0.3*E33</f>
        <v>12</v>
      </c>
      <c r="F34">
        <f t="shared" ref="F34" si="5">0.3*F33</f>
        <v>12</v>
      </c>
    </row>
    <row r="35" spans="1:10">
      <c r="A35" s="64" t="s">
        <v>164</v>
      </c>
      <c r="B35">
        <f>0.1*B33</f>
        <v>1</v>
      </c>
      <c r="C35">
        <f t="shared" ref="C35:F35" si="6">0.1*C33</f>
        <v>2</v>
      </c>
      <c r="D35">
        <f t="shared" si="6"/>
        <v>3</v>
      </c>
      <c r="E35">
        <f t="shared" si="6"/>
        <v>4</v>
      </c>
      <c r="F35">
        <f t="shared" si="6"/>
        <v>4</v>
      </c>
    </row>
    <row r="36" spans="1:10" s="28" customFormat="1">
      <c r="A36" s="28" t="s">
        <v>165</v>
      </c>
    </row>
    <row r="37" spans="1:10">
      <c r="A37" s="44" t="s">
        <v>167</v>
      </c>
      <c r="B37" s="45" t="s">
        <v>93</v>
      </c>
      <c r="C37" s="45" t="s">
        <v>94</v>
      </c>
      <c r="D37" s="45" t="s">
        <v>95</v>
      </c>
      <c r="E37" s="45" t="s">
        <v>96</v>
      </c>
      <c r="F37" s="45" t="s">
        <v>97</v>
      </c>
    </row>
    <row r="38" spans="1:10">
      <c r="A38" s="64" t="s">
        <v>162</v>
      </c>
      <c r="B38" s="42">
        <f>B29*300</f>
        <v>9000</v>
      </c>
      <c r="C38" s="42">
        <f t="shared" ref="C38:F38" si="7">C29*300</f>
        <v>12000</v>
      </c>
      <c r="D38" s="42">
        <f t="shared" si="7"/>
        <v>15000</v>
      </c>
      <c r="E38" s="42">
        <f t="shared" si="7"/>
        <v>18000</v>
      </c>
      <c r="F38" s="42">
        <f t="shared" si="7"/>
        <v>24000</v>
      </c>
    </row>
    <row r="39" spans="1:10">
      <c r="A39" s="64" t="s">
        <v>163</v>
      </c>
      <c r="B39" s="42">
        <f>B30*600</f>
        <v>5400</v>
      </c>
      <c r="C39" s="42">
        <f t="shared" ref="C39:F39" si="8">C30*600</f>
        <v>7200</v>
      </c>
      <c r="D39" s="42">
        <f t="shared" si="8"/>
        <v>9000</v>
      </c>
      <c r="E39" s="42">
        <f t="shared" si="8"/>
        <v>10800</v>
      </c>
      <c r="F39" s="42">
        <f t="shared" si="8"/>
        <v>14400</v>
      </c>
    </row>
    <row r="40" spans="1:10">
      <c r="A40" s="64" t="s">
        <v>164</v>
      </c>
      <c r="B40" s="42">
        <f>B31*900</f>
        <v>2700</v>
      </c>
      <c r="C40" s="42">
        <f t="shared" ref="C40:F40" si="9">C31*900</f>
        <v>3600</v>
      </c>
      <c r="D40" s="42">
        <f t="shared" si="9"/>
        <v>4500</v>
      </c>
      <c r="E40" s="42">
        <f t="shared" si="9"/>
        <v>5400</v>
      </c>
      <c r="F40" s="42">
        <f t="shared" si="9"/>
        <v>7200</v>
      </c>
    </row>
    <row r="41" spans="1:10">
      <c r="A41" s="64" t="s">
        <v>171</v>
      </c>
      <c r="B41" s="160">
        <f>SUM(B38:B40)</f>
        <v>17100</v>
      </c>
      <c r="C41" s="160">
        <f t="shared" ref="C41:F41" si="10">SUM(C38:C40)</f>
        <v>22800</v>
      </c>
      <c r="D41" s="160">
        <f t="shared" si="10"/>
        <v>28500</v>
      </c>
      <c r="E41" s="160">
        <f t="shared" si="10"/>
        <v>34200</v>
      </c>
      <c r="F41" s="160">
        <f t="shared" si="10"/>
        <v>45600</v>
      </c>
    </row>
    <row r="42" spans="1:10">
      <c r="A42" s="44" t="s">
        <v>170</v>
      </c>
      <c r="B42" s="45" t="s">
        <v>93</v>
      </c>
      <c r="C42" s="45" t="s">
        <v>94</v>
      </c>
      <c r="D42" s="45" t="s">
        <v>95</v>
      </c>
      <c r="E42" s="45" t="s">
        <v>96</v>
      </c>
      <c r="F42" s="45" t="s">
        <v>97</v>
      </c>
    </row>
    <row r="43" spans="1:10">
      <c r="A43" s="64" t="s">
        <v>168</v>
      </c>
      <c r="B43" s="41">
        <f>B41*0.01*0.7</f>
        <v>119.69999999999999</v>
      </c>
      <c r="C43" s="41">
        <f>C41*0.02*0.7</f>
        <v>319.2</v>
      </c>
      <c r="D43" s="41">
        <f>D41*0.03*0.7</f>
        <v>598.5</v>
      </c>
      <c r="E43" s="41">
        <f>E41*0.04*0.7</f>
        <v>957.59999999999991</v>
      </c>
      <c r="F43" s="41">
        <f>F41*0.05*0.7</f>
        <v>1596</v>
      </c>
    </row>
    <row r="44" spans="1:10">
      <c r="A44" s="64" t="s">
        <v>169</v>
      </c>
      <c r="B44" s="41">
        <f>B43</f>
        <v>119.69999999999999</v>
      </c>
      <c r="C44" s="41">
        <f>C43</f>
        <v>319.2</v>
      </c>
      <c r="D44" s="41">
        <f t="shared" ref="D44:F44" si="11">D43</f>
        <v>598.5</v>
      </c>
      <c r="E44" s="41">
        <f t="shared" si="11"/>
        <v>957.59999999999991</v>
      </c>
      <c r="F44" s="41">
        <f t="shared" si="11"/>
        <v>1596</v>
      </c>
    </row>
    <row r="45" spans="1:10">
      <c r="A45" s="28" t="s">
        <v>185</v>
      </c>
      <c r="B45" s="41"/>
      <c r="C45" s="41"/>
      <c r="D45" s="41"/>
      <c r="E45" s="41"/>
      <c r="F45" s="41"/>
    </row>
    <row r="46" spans="1:10" s="46" customFormat="1">
      <c r="A46" s="44" t="s">
        <v>172</v>
      </c>
      <c r="B46" s="45" t="s">
        <v>93</v>
      </c>
      <c r="C46" s="45" t="s">
        <v>94</v>
      </c>
      <c r="D46" s="45" t="s">
        <v>95</v>
      </c>
      <c r="E46" s="45" t="s">
        <v>96</v>
      </c>
      <c r="F46" s="45" t="s">
        <v>97</v>
      </c>
      <c r="G46" s="91"/>
    </row>
    <row r="47" spans="1:10">
      <c r="A47" s="64" t="s">
        <v>125</v>
      </c>
      <c r="B47" s="139">
        <f>assinatura*B43</f>
        <v>2394</v>
      </c>
      <c r="C47" s="139">
        <f>U_2*C43</f>
        <v>9576</v>
      </c>
      <c r="D47" s="139">
        <f>U_3*D43</f>
        <v>29925</v>
      </c>
      <c r="E47" s="139">
        <f>U_4*E43</f>
        <v>47879.999999999993</v>
      </c>
      <c r="F47" s="139">
        <f>U_5*F43</f>
        <v>79800</v>
      </c>
      <c r="G47" s="43"/>
    </row>
    <row r="48" spans="1:10">
      <c r="A48" s="64" t="s">
        <v>169</v>
      </c>
      <c r="B48" s="139">
        <f>B47</f>
        <v>2394</v>
      </c>
      <c r="C48" s="139">
        <f t="shared" ref="C48:F48" si="12">C47</f>
        <v>9576</v>
      </c>
      <c r="D48" s="139">
        <f t="shared" si="12"/>
        <v>29925</v>
      </c>
      <c r="E48" s="139">
        <f t="shared" si="12"/>
        <v>47879.999999999993</v>
      </c>
      <c r="F48" s="139">
        <f t="shared" si="12"/>
        <v>79800</v>
      </c>
      <c r="G48" s="28"/>
      <c r="H48" s="93"/>
      <c r="I48" s="93"/>
      <c r="J48" s="95"/>
    </row>
    <row r="49" spans="1:7">
      <c r="A49" s="64" t="s">
        <v>137</v>
      </c>
      <c r="B49" s="139">
        <f>P_1*B29*B33</f>
        <v>504000</v>
      </c>
      <c r="C49" s="139">
        <f>P_1*C29*C33</f>
        <v>1344000</v>
      </c>
      <c r="D49" s="139">
        <f>P_1*D29*D33</f>
        <v>2520000</v>
      </c>
      <c r="E49" s="139">
        <f>P_1*E29*E33</f>
        <v>4032000</v>
      </c>
      <c r="F49" s="139">
        <f>P_1*F29*F33</f>
        <v>5376000</v>
      </c>
      <c r="G49" s="28"/>
    </row>
    <row r="50" spans="1:7">
      <c r="A50" s="64" t="s">
        <v>138</v>
      </c>
      <c r="B50" s="139">
        <f>M_1*B30*B34</f>
        <v>90720</v>
      </c>
      <c r="C50" s="139">
        <f>M_1*C30*C34</f>
        <v>241920</v>
      </c>
      <c r="D50" s="139">
        <f>M_1*D30*D34</f>
        <v>453600</v>
      </c>
      <c r="E50" s="139">
        <f>M_1*E30*E34</f>
        <v>725760</v>
      </c>
      <c r="F50" s="139">
        <f>M_1*F30*F34</f>
        <v>967680</v>
      </c>
      <c r="G50" s="28"/>
    </row>
    <row r="51" spans="1:7">
      <c r="A51" s="64" t="s">
        <v>139</v>
      </c>
      <c r="B51" s="139">
        <f>T_1*B31*B35</f>
        <v>15120</v>
      </c>
      <c r="C51" s="139">
        <f>T_1*C31*C35</f>
        <v>40320</v>
      </c>
      <c r="D51" s="139">
        <f>T_1*D31*D35</f>
        <v>75600</v>
      </c>
      <c r="E51" s="139">
        <f>T_1*E31*E35</f>
        <v>120960</v>
      </c>
      <c r="F51" s="139">
        <f>T_1*F31*F35</f>
        <v>161280</v>
      </c>
      <c r="G51" s="28"/>
    </row>
    <row r="52" spans="1:7">
      <c r="A52" s="64" t="s">
        <v>171</v>
      </c>
      <c r="B52" s="161">
        <f>SUM(B47:B51)</f>
        <v>614628</v>
      </c>
      <c r="C52" s="161">
        <f t="shared" ref="C52:F52" si="13">SUM(C47:C51)</f>
        <v>1645392</v>
      </c>
      <c r="D52" s="161">
        <f t="shared" si="13"/>
        <v>3109050</v>
      </c>
      <c r="E52" s="161">
        <f t="shared" si="13"/>
        <v>4974480</v>
      </c>
      <c r="F52" s="161">
        <f t="shared" si="13"/>
        <v>6664560</v>
      </c>
    </row>
    <row r="55" spans="1:7">
      <c r="A55" s="157" t="s">
        <v>151</v>
      </c>
    </row>
    <row r="56" spans="1:7">
      <c r="A56" s="158"/>
      <c r="C56" s="93"/>
      <c r="D56" s="95"/>
    </row>
    <row r="57" spans="1:7">
      <c r="A57" t="s">
        <v>144</v>
      </c>
    </row>
    <row r="58" spans="1:7">
      <c r="A58" t="s">
        <v>146</v>
      </c>
    </row>
    <row r="59" spans="1:7">
      <c r="A59" t="s">
        <v>147</v>
      </c>
    </row>
    <row r="60" spans="1:7">
      <c r="A60" t="s">
        <v>148</v>
      </c>
      <c r="C60" s="46"/>
      <c r="D60" s="46"/>
      <c r="E60" s="46"/>
      <c r="F60" s="46"/>
    </row>
    <row r="61" spans="1:7">
      <c r="A61" t="s">
        <v>149</v>
      </c>
    </row>
    <row r="62" spans="1:7">
      <c r="A62" t="s">
        <v>145</v>
      </c>
    </row>
    <row r="63" spans="1:7">
      <c r="A63" t="s">
        <v>196</v>
      </c>
    </row>
    <row r="64" spans="1:7">
      <c r="A64" t="s">
        <v>157</v>
      </c>
    </row>
    <row r="66" spans="1:3">
      <c r="A66" s="157" t="s">
        <v>152</v>
      </c>
      <c r="B66" s="157" t="s">
        <v>153</v>
      </c>
      <c r="C66" s="157"/>
    </row>
    <row r="67" spans="1:3">
      <c r="A67" s="159" t="s">
        <v>154</v>
      </c>
      <c r="B67" s="186" t="s">
        <v>186</v>
      </c>
    </row>
    <row r="68" spans="1:3">
      <c r="A68" s="159" t="s">
        <v>155</v>
      </c>
      <c r="B68" s="186" t="s">
        <v>187</v>
      </c>
    </row>
    <row r="69" spans="1:3">
      <c r="A69" s="159" t="s">
        <v>156</v>
      </c>
      <c r="B69" s="186" t="s">
        <v>188</v>
      </c>
    </row>
    <row r="71" spans="1:3">
      <c r="A71" s="159"/>
    </row>
    <row r="72" spans="1:3">
      <c r="A72" s="157"/>
    </row>
  </sheetData>
  <mergeCells count="1">
    <mergeCell ref="A4:E4"/>
  </mergeCells>
  <pageMargins left="0.7" right="0.7" top="0.75" bottom="0.75" header="0.3" footer="0.3"/>
  <pageSetup paperSize="9" orientation="portrait" horizontalDpi="300" verticalDpi="3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N28"/>
  <sheetViews>
    <sheetView topLeftCell="A26" zoomScaleNormal="100" zoomScalePageLayoutView="85" workbookViewId="0">
      <selection activeCell="G18" sqref="G18"/>
    </sheetView>
  </sheetViews>
  <sheetFormatPr defaultColWidth="8.85546875" defaultRowHeight="15"/>
  <cols>
    <col min="1" max="1" width="51.140625" bestFit="1" customWidth="1"/>
    <col min="2" max="6" width="15.140625" bestFit="1" customWidth="1"/>
    <col min="7" max="7" width="14.140625" customWidth="1"/>
    <col min="8" max="8" width="14.7109375" customWidth="1"/>
    <col min="9" max="10" width="17.140625" customWidth="1"/>
    <col min="11" max="11" width="15.28515625" customWidth="1"/>
    <col min="12" max="12" width="17.5703125" customWidth="1"/>
    <col min="13" max="13" width="14.5703125" bestFit="1" customWidth="1"/>
    <col min="14" max="14" width="13.85546875" bestFit="1" customWidth="1"/>
    <col min="15" max="15" width="15" bestFit="1" customWidth="1"/>
    <col min="16" max="60" width="13.85546875" bestFit="1" customWidth="1"/>
    <col min="61" max="61" width="16" bestFit="1" customWidth="1"/>
    <col min="62" max="62" width="14.42578125" bestFit="1" customWidth="1"/>
    <col min="63" max="72" width="13.28515625" bestFit="1" customWidth="1"/>
    <col min="73" max="73" width="15.85546875" customWidth="1"/>
    <col min="74" max="74" width="14.42578125" bestFit="1" customWidth="1"/>
    <col min="75" max="84" width="13.28515625" bestFit="1" customWidth="1"/>
    <col min="85" max="85" width="15" customWidth="1"/>
  </cols>
  <sheetData>
    <row r="1" spans="1:144" ht="18">
      <c r="A1" s="66" t="s">
        <v>106</v>
      </c>
    </row>
    <row r="2" spans="1:144">
      <c r="A2" s="5" t="str">
        <f>CONCATENATE(Company, ": ",start, " -  ",end)</f>
        <v>Crush: Mês 1 -  Mês 60</v>
      </c>
    </row>
    <row r="3" spans="1:144"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</row>
    <row r="4" spans="1:144" s="22" customFormat="1" ht="15.75">
      <c r="A4" s="167" t="s">
        <v>173</v>
      </c>
      <c r="B4" s="168">
        <v>1</v>
      </c>
      <c r="C4" s="169">
        <v>2</v>
      </c>
      <c r="D4" s="168">
        <v>3</v>
      </c>
      <c r="E4" s="168">
        <v>4</v>
      </c>
      <c r="F4" s="169">
        <v>5</v>
      </c>
      <c r="G4" s="168">
        <v>6</v>
      </c>
      <c r="H4" s="168">
        <v>7</v>
      </c>
      <c r="I4" s="169">
        <v>8</v>
      </c>
      <c r="J4" s="168">
        <v>9</v>
      </c>
      <c r="K4" s="168">
        <v>10</v>
      </c>
      <c r="L4" s="169">
        <v>11</v>
      </c>
      <c r="M4" s="168">
        <v>12</v>
      </c>
      <c r="N4" s="168">
        <v>13</v>
      </c>
      <c r="O4" s="169">
        <v>14</v>
      </c>
      <c r="P4" s="168">
        <v>15</v>
      </c>
      <c r="Q4" s="168">
        <v>16</v>
      </c>
      <c r="R4" s="169">
        <v>17</v>
      </c>
      <c r="S4" s="168">
        <v>18</v>
      </c>
      <c r="T4" s="168">
        <v>19</v>
      </c>
      <c r="U4" s="169">
        <v>20</v>
      </c>
      <c r="V4" s="168">
        <v>21</v>
      </c>
      <c r="W4" s="168">
        <v>22</v>
      </c>
      <c r="X4" s="169">
        <v>23</v>
      </c>
      <c r="Y4" s="168">
        <v>24</v>
      </c>
      <c r="Z4" s="168">
        <v>25</v>
      </c>
      <c r="AA4" s="169">
        <v>26</v>
      </c>
      <c r="AB4" s="168">
        <v>27</v>
      </c>
      <c r="AC4" s="168">
        <v>28</v>
      </c>
      <c r="AD4" s="169">
        <v>29</v>
      </c>
      <c r="AE4" s="168">
        <v>30</v>
      </c>
      <c r="AF4" s="168">
        <v>31</v>
      </c>
      <c r="AG4" s="169">
        <v>32</v>
      </c>
      <c r="AH4" s="168">
        <v>33</v>
      </c>
      <c r="AI4" s="168">
        <v>34</v>
      </c>
      <c r="AJ4" s="169">
        <v>35</v>
      </c>
      <c r="AK4" s="168">
        <v>36</v>
      </c>
      <c r="AL4" s="168">
        <v>37</v>
      </c>
      <c r="AM4" s="169">
        <v>38</v>
      </c>
      <c r="AN4" s="168">
        <v>39</v>
      </c>
      <c r="AO4" s="168">
        <v>40</v>
      </c>
      <c r="AP4" s="169">
        <v>41</v>
      </c>
      <c r="AQ4" s="168">
        <v>42</v>
      </c>
      <c r="AR4" s="168">
        <v>43</v>
      </c>
      <c r="AS4" s="169">
        <v>44</v>
      </c>
      <c r="AT4" s="168">
        <v>45</v>
      </c>
      <c r="AU4" s="168">
        <v>46</v>
      </c>
      <c r="AV4" s="169">
        <v>47</v>
      </c>
      <c r="AW4" s="168">
        <v>48</v>
      </c>
      <c r="AX4" s="168">
        <v>49</v>
      </c>
      <c r="AY4" s="169">
        <v>50</v>
      </c>
      <c r="AZ4" s="168">
        <v>51</v>
      </c>
      <c r="BA4" s="168">
        <v>52</v>
      </c>
      <c r="BB4" s="169">
        <v>53</v>
      </c>
      <c r="BC4" s="168">
        <v>54</v>
      </c>
      <c r="BD4" s="168">
        <v>55</v>
      </c>
      <c r="BE4" s="169">
        <v>56</v>
      </c>
      <c r="BF4" s="168">
        <v>57</v>
      </c>
      <c r="BG4" s="168">
        <v>58</v>
      </c>
      <c r="BH4" s="169">
        <v>59</v>
      </c>
      <c r="BI4" s="187">
        <v>60</v>
      </c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</row>
    <row r="5" spans="1:144" s="22" customFormat="1">
      <c r="A5" s="170" t="s">
        <v>125</v>
      </c>
      <c r="B5" s="162">
        <f>Premissas!B47/12</f>
        <v>199.5</v>
      </c>
      <c r="C5" s="162">
        <f>B5</f>
        <v>199.5</v>
      </c>
      <c r="D5" s="162">
        <f t="shared" ref="D5:M5" si="0">C5</f>
        <v>199.5</v>
      </c>
      <c r="E5" s="162">
        <f t="shared" si="0"/>
        <v>199.5</v>
      </c>
      <c r="F5" s="162">
        <f t="shared" si="0"/>
        <v>199.5</v>
      </c>
      <c r="G5" s="162">
        <f t="shared" si="0"/>
        <v>199.5</v>
      </c>
      <c r="H5" s="162">
        <f t="shared" si="0"/>
        <v>199.5</v>
      </c>
      <c r="I5" s="162">
        <f t="shared" si="0"/>
        <v>199.5</v>
      </c>
      <c r="J5" s="162">
        <f t="shared" si="0"/>
        <v>199.5</v>
      </c>
      <c r="K5" s="162">
        <f t="shared" si="0"/>
        <v>199.5</v>
      </c>
      <c r="L5" s="162">
        <f t="shared" si="0"/>
        <v>199.5</v>
      </c>
      <c r="M5" s="162">
        <f t="shared" si="0"/>
        <v>199.5</v>
      </c>
      <c r="N5" s="162">
        <f>Premissas!C47/12</f>
        <v>798</v>
      </c>
      <c r="O5" s="162">
        <f>N5</f>
        <v>798</v>
      </c>
      <c r="P5" s="162">
        <f t="shared" ref="P5:Y5" si="1">O5</f>
        <v>798</v>
      </c>
      <c r="Q5" s="162">
        <f t="shared" si="1"/>
        <v>798</v>
      </c>
      <c r="R5" s="162">
        <f t="shared" si="1"/>
        <v>798</v>
      </c>
      <c r="S5" s="162">
        <f t="shared" si="1"/>
        <v>798</v>
      </c>
      <c r="T5" s="162">
        <f t="shared" si="1"/>
        <v>798</v>
      </c>
      <c r="U5" s="162">
        <f t="shared" si="1"/>
        <v>798</v>
      </c>
      <c r="V5" s="162">
        <f t="shared" si="1"/>
        <v>798</v>
      </c>
      <c r="W5" s="162">
        <f t="shared" si="1"/>
        <v>798</v>
      </c>
      <c r="X5" s="162">
        <f t="shared" si="1"/>
        <v>798</v>
      </c>
      <c r="Y5" s="162">
        <f t="shared" si="1"/>
        <v>798</v>
      </c>
      <c r="Z5" s="162">
        <f>Premissas!D47/12</f>
        <v>2493.75</v>
      </c>
      <c r="AA5" s="162">
        <f>Z5</f>
        <v>2493.75</v>
      </c>
      <c r="AB5" s="162">
        <f t="shared" ref="AB5:AK5" si="2">AA5</f>
        <v>2493.75</v>
      </c>
      <c r="AC5" s="162">
        <f t="shared" si="2"/>
        <v>2493.75</v>
      </c>
      <c r="AD5" s="162">
        <f t="shared" si="2"/>
        <v>2493.75</v>
      </c>
      <c r="AE5" s="162">
        <f t="shared" si="2"/>
        <v>2493.75</v>
      </c>
      <c r="AF5" s="162">
        <f t="shared" si="2"/>
        <v>2493.75</v>
      </c>
      <c r="AG5" s="162">
        <f t="shared" si="2"/>
        <v>2493.75</v>
      </c>
      <c r="AH5" s="162">
        <f t="shared" si="2"/>
        <v>2493.75</v>
      </c>
      <c r="AI5" s="162">
        <f t="shared" si="2"/>
        <v>2493.75</v>
      </c>
      <c r="AJ5" s="162">
        <f t="shared" si="2"/>
        <v>2493.75</v>
      </c>
      <c r="AK5" s="162">
        <f t="shared" si="2"/>
        <v>2493.75</v>
      </c>
      <c r="AL5" s="162">
        <f>Premissas!E47/12</f>
        <v>3989.9999999999995</v>
      </c>
      <c r="AM5" s="162">
        <f>AL5</f>
        <v>3989.9999999999995</v>
      </c>
      <c r="AN5" s="162">
        <f t="shared" ref="AN5:AW5" si="3">AM5</f>
        <v>3989.9999999999995</v>
      </c>
      <c r="AO5" s="162">
        <f t="shared" si="3"/>
        <v>3989.9999999999995</v>
      </c>
      <c r="AP5" s="162">
        <f t="shared" si="3"/>
        <v>3989.9999999999995</v>
      </c>
      <c r="AQ5" s="162">
        <f t="shared" si="3"/>
        <v>3989.9999999999995</v>
      </c>
      <c r="AR5" s="162">
        <f t="shared" si="3"/>
        <v>3989.9999999999995</v>
      </c>
      <c r="AS5" s="162">
        <f t="shared" si="3"/>
        <v>3989.9999999999995</v>
      </c>
      <c r="AT5" s="162">
        <f t="shared" si="3"/>
        <v>3989.9999999999995</v>
      </c>
      <c r="AU5" s="162">
        <f t="shared" si="3"/>
        <v>3989.9999999999995</v>
      </c>
      <c r="AV5" s="162">
        <f t="shared" si="3"/>
        <v>3989.9999999999995</v>
      </c>
      <c r="AW5" s="162">
        <f t="shared" si="3"/>
        <v>3989.9999999999995</v>
      </c>
      <c r="AX5" s="162">
        <f>Premissas!F47/12</f>
        <v>6650</v>
      </c>
      <c r="AY5" s="162">
        <f>AX5</f>
        <v>6650</v>
      </c>
      <c r="AZ5" s="162">
        <f t="shared" ref="AZ5:BI5" si="4">AY5</f>
        <v>6650</v>
      </c>
      <c r="BA5" s="162">
        <f t="shared" si="4"/>
        <v>6650</v>
      </c>
      <c r="BB5" s="162">
        <f t="shared" si="4"/>
        <v>6650</v>
      </c>
      <c r="BC5" s="162">
        <f t="shared" si="4"/>
        <v>6650</v>
      </c>
      <c r="BD5" s="162">
        <f t="shared" si="4"/>
        <v>6650</v>
      </c>
      <c r="BE5" s="162">
        <f t="shared" si="4"/>
        <v>6650</v>
      </c>
      <c r="BF5" s="162">
        <f t="shared" si="4"/>
        <v>6650</v>
      </c>
      <c r="BG5" s="162">
        <f t="shared" si="4"/>
        <v>6650</v>
      </c>
      <c r="BH5" s="162">
        <f t="shared" si="4"/>
        <v>6650</v>
      </c>
      <c r="BI5" s="188">
        <f t="shared" si="4"/>
        <v>6650</v>
      </c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</row>
    <row r="6" spans="1:144" s="22" customFormat="1">
      <c r="A6" s="170" t="s">
        <v>169</v>
      </c>
      <c r="B6" s="162">
        <f>Premissas!B48/12</f>
        <v>199.5</v>
      </c>
      <c r="C6" s="162">
        <f>B6</f>
        <v>199.5</v>
      </c>
      <c r="D6" s="162">
        <f t="shared" ref="D6:M6" si="5">C6</f>
        <v>199.5</v>
      </c>
      <c r="E6" s="162">
        <f t="shared" si="5"/>
        <v>199.5</v>
      </c>
      <c r="F6" s="162">
        <f t="shared" si="5"/>
        <v>199.5</v>
      </c>
      <c r="G6" s="162">
        <f t="shared" si="5"/>
        <v>199.5</v>
      </c>
      <c r="H6" s="162">
        <f t="shared" si="5"/>
        <v>199.5</v>
      </c>
      <c r="I6" s="162">
        <f t="shared" si="5"/>
        <v>199.5</v>
      </c>
      <c r="J6" s="162">
        <f t="shared" si="5"/>
        <v>199.5</v>
      </c>
      <c r="K6" s="162">
        <f t="shared" si="5"/>
        <v>199.5</v>
      </c>
      <c r="L6" s="162">
        <f t="shared" si="5"/>
        <v>199.5</v>
      </c>
      <c r="M6" s="162">
        <f t="shared" si="5"/>
        <v>199.5</v>
      </c>
      <c r="N6" s="162">
        <f>Premissas!C48/12</f>
        <v>798</v>
      </c>
      <c r="O6" s="162">
        <f t="shared" ref="O6:Y9" si="6">N6</f>
        <v>798</v>
      </c>
      <c r="P6" s="162">
        <f t="shared" si="6"/>
        <v>798</v>
      </c>
      <c r="Q6" s="162">
        <f t="shared" si="6"/>
        <v>798</v>
      </c>
      <c r="R6" s="162">
        <f t="shared" si="6"/>
        <v>798</v>
      </c>
      <c r="S6" s="162">
        <f t="shared" si="6"/>
        <v>798</v>
      </c>
      <c r="T6" s="162">
        <f t="shared" si="6"/>
        <v>798</v>
      </c>
      <c r="U6" s="162">
        <f t="shared" si="6"/>
        <v>798</v>
      </c>
      <c r="V6" s="162">
        <f t="shared" si="6"/>
        <v>798</v>
      </c>
      <c r="W6" s="162">
        <f t="shared" si="6"/>
        <v>798</v>
      </c>
      <c r="X6" s="162">
        <f t="shared" si="6"/>
        <v>798</v>
      </c>
      <c r="Y6" s="162">
        <f t="shared" si="6"/>
        <v>798</v>
      </c>
      <c r="Z6" s="162">
        <f>Premissas!D48/12</f>
        <v>2493.75</v>
      </c>
      <c r="AA6" s="162">
        <f t="shared" ref="AA6:AK9" si="7">Z6</f>
        <v>2493.75</v>
      </c>
      <c r="AB6" s="162">
        <f t="shared" si="7"/>
        <v>2493.75</v>
      </c>
      <c r="AC6" s="162">
        <f t="shared" si="7"/>
        <v>2493.75</v>
      </c>
      <c r="AD6" s="162">
        <f t="shared" si="7"/>
        <v>2493.75</v>
      </c>
      <c r="AE6" s="162">
        <f t="shared" si="7"/>
        <v>2493.75</v>
      </c>
      <c r="AF6" s="162">
        <f t="shared" si="7"/>
        <v>2493.75</v>
      </c>
      <c r="AG6" s="162">
        <f t="shared" si="7"/>
        <v>2493.75</v>
      </c>
      <c r="AH6" s="162">
        <f t="shared" si="7"/>
        <v>2493.75</v>
      </c>
      <c r="AI6" s="162">
        <f t="shared" si="7"/>
        <v>2493.75</v>
      </c>
      <c r="AJ6" s="162">
        <f t="shared" si="7"/>
        <v>2493.75</v>
      </c>
      <c r="AK6" s="162">
        <f t="shared" si="7"/>
        <v>2493.75</v>
      </c>
      <c r="AL6" s="162">
        <f>Premissas!E48/12</f>
        <v>3989.9999999999995</v>
      </c>
      <c r="AM6" s="162">
        <f t="shared" ref="AM6:AW9" si="8">AL6</f>
        <v>3989.9999999999995</v>
      </c>
      <c r="AN6" s="162">
        <f t="shared" si="8"/>
        <v>3989.9999999999995</v>
      </c>
      <c r="AO6" s="162">
        <f t="shared" si="8"/>
        <v>3989.9999999999995</v>
      </c>
      <c r="AP6" s="162">
        <f t="shared" si="8"/>
        <v>3989.9999999999995</v>
      </c>
      <c r="AQ6" s="162">
        <f t="shared" si="8"/>
        <v>3989.9999999999995</v>
      </c>
      <c r="AR6" s="162">
        <f t="shared" si="8"/>
        <v>3989.9999999999995</v>
      </c>
      <c r="AS6" s="162">
        <f t="shared" si="8"/>
        <v>3989.9999999999995</v>
      </c>
      <c r="AT6" s="162">
        <f t="shared" si="8"/>
        <v>3989.9999999999995</v>
      </c>
      <c r="AU6" s="162">
        <f t="shared" si="8"/>
        <v>3989.9999999999995</v>
      </c>
      <c r="AV6" s="162">
        <f t="shared" si="8"/>
        <v>3989.9999999999995</v>
      </c>
      <c r="AW6" s="162">
        <f t="shared" si="8"/>
        <v>3989.9999999999995</v>
      </c>
      <c r="AX6" s="162">
        <f>Premissas!F48/12</f>
        <v>6650</v>
      </c>
      <c r="AY6" s="162">
        <f t="shared" ref="AY6:BI9" si="9">AX6</f>
        <v>6650</v>
      </c>
      <c r="AZ6" s="162">
        <f t="shared" si="9"/>
        <v>6650</v>
      </c>
      <c r="BA6" s="162">
        <f t="shared" si="9"/>
        <v>6650</v>
      </c>
      <c r="BB6" s="162">
        <f t="shared" si="9"/>
        <v>6650</v>
      </c>
      <c r="BC6" s="162">
        <f t="shared" si="9"/>
        <v>6650</v>
      </c>
      <c r="BD6" s="162">
        <f t="shared" si="9"/>
        <v>6650</v>
      </c>
      <c r="BE6" s="162">
        <f t="shared" si="9"/>
        <v>6650</v>
      </c>
      <c r="BF6" s="162">
        <f t="shared" si="9"/>
        <v>6650</v>
      </c>
      <c r="BG6" s="162">
        <f t="shared" si="9"/>
        <v>6650</v>
      </c>
      <c r="BH6" s="162">
        <f t="shared" si="9"/>
        <v>6650</v>
      </c>
      <c r="BI6" s="188">
        <f t="shared" si="9"/>
        <v>6650</v>
      </c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</row>
    <row r="7" spans="1:144" s="22" customFormat="1">
      <c r="A7" s="170" t="s">
        <v>137</v>
      </c>
      <c r="B7" s="162">
        <f>Premissas!B49/12</f>
        <v>42000</v>
      </c>
      <c r="C7" s="162">
        <f>B7</f>
        <v>42000</v>
      </c>
      <c r="D7" s="162">
        <f t="shared" ref="D7:M7" si="10">C7</f>
        <v>42000</v>
      </c>
      <c r="E7" s="162">
        <f t="shared" si="10"/>
        <v>42000</v>
      </c>
      <c r="F7" s="162">
        <f t="shared" si="10"/>
        <v>42000</v>
      </c>
      <c r="G7" s="162">
        <f t="shared" si="10"/>
        <v>42000</v>
      </c>
      <c r="H7" s="162">
        <f t="shared" si="10"/>
        <v>42000</v>
      </c>
      <c r="I7" s="162">
        <f t="shared" si="10"/>
        <v>42000</v>
      </c>
      <c r="J7" s="162">
        <f t="shared" si="10"/>
        <v>42000</v>
      </c>
      <c r="K7" s="162">
        <f t="shared" si="10"/>
        <v>42000</v>
      </c>
      <c r="L7" s="162">
        <f t="shared" si="10"/>
        <v>42000</v>
      </c>
      <c r="M7" s="162">
        <f t="shared" si="10"/>
        <v>42000</v>
      </c>
      <c r="N7" s="162">
        <f>Premissas!C49/12</f>
        <v>112000</v>
      </c>
      <c r="O7" s="162">
        <f t="shared" si="6"/>
        <v>112000</v>
      </c>
      <c r="P7" s="162">
        <f t="shared" si="6"/>
        <v>112000</v>
      </c>
      <c r="Q7" s="162">
        <f t="shared" si="6"/>
        <v>112000</v>
      </c>
      <c r="R7" s="162">
        <f t="shared" si="6"/>
        <v>112000</v>
      </c>
      <c r="S7" s="162">
        <f t="shared" si="6"/>
        <v>112000</v>
      </c>
      <c r="T7" s="162">
        <f t="shared" si="6"/>
        <v>112000</v>
      </c>
      <c r="U7" s="162">
        <f t="shared" si="6"/>
        <v>112000</v>
      </c>
      <c r="V7" s="162">
        <f t="shared" si="6"/>
        <v>112000</v>
      </c>
      <c r="W7" s="162">
        <f t="shared" si="6"/>
        <v>112000</v>
      </c>
      <c r="X7" s="162">
        <f t="shared" si="6"/>
        <v>112000</v>
      </c>
      <c r="Y7" s="162">
        <f t="shared" si="6"/>
        <v>112000</v>
      </c>
      <c r="Z7" s="162">
        <f>Premissas!D49/12</f>
        <v>210000</v>
      </c>
      <c r="AA7" s="162">
        <f t="shared" si="7"/>
        <v>210000</v>
      </c>
      <c r="AB7" s="162">
        <f t="shared" si="7"/>
        <v>210000</v>
      </c>
      <c r="AC7" s="162">
        <f t="shared" si="7"/>
        <v>210000</v>
      </c>
      <c r="AD7" s="162">
        <f t="shared" si="7"/>
        <v>210000</v>
      </c>
      <c r="AE7" s="162">
        <f t="shared" si="7"/>
        <v>210000</v>
      </c>
      <c r="AF7" s="162">
        <f t="shared" si="7"/>
        <v>210000</v>
      </c>
      <c r="AG7" s="162">
        <f t="shared" si="7"/>
        <v>210000</v>
      </c>
      <c r="AH7" s="162">
        <f t="shared" si="7"/>
        <v>210000</v>
      </c>
      <c r="AI7" s="162">
        <f t="shared" si="7"/>
        <v>210000</v>
      </c>
      <c r="AJ7" s="162">
        <f t="shared" si="7"/>
        <v>210000</v>
      </c>
      <c r="AK7" s="162">
        <f t="shared" si="7"/>
        <v>210000</v>
      </c>
      <c r="AL7" s="162">
        <f>Premissas!E49/12</f>
        <v>336000</v>
      </c>
      <c r="AM7" s="162">
        <f t="shared" si="8"/>
        <v>336000</v>
      </c>
      <c r="AN7" s="162">
        <f t="shared" si="8"/>
        <v>336000</v>
      </c>
      <c r="AO7" s="162">
        <f t="shared" si="8"/>
        <v>336000</v>
      </c>
      <c r="AP7" s="162">
        <f t="shared" si="8"/>
        <v>336000</v>
      </c>
      <c r="AQ7" s="162">
        <f t="shared" si="8"/>
        <v>336000</v>
      </c>
      <c r="AR7" s="162">
        <f t="shared" si="8"/>
        <v>336000</v>
      </c>
      <c r="AS7" s="162">
        <f t="shared" si="8"/>
        <v>336000</v>
      </c>
      <c r="AT7" s="162">
        <f t="shared" si="8"/>
        <v>336000</v>
      </c>
      <c r="AU7" s="162">
        <f t="shared" si="8"/>
        <v>336000</v>
      </c>
      <c r="AV7" s="162">
        <f t="shared" si="8"/>
        <v>336000</v>
      </c>
      <c r="AW7" s="162">
        <f t="shared" si="8"/>
        <v>336000</v>
      </c>
      <c r="AX7" s="162">
        <f>Premissas!F49/12</f>
        <v>448000</v>
      </c>
      <c r="AY7" s="162">
        <f t="shared" si="9"/>
        <v>448000</v>
      </c>
      <c r="AZ7" s="162">
        <f t="shared" si="9"/>
        <v>448000</v>
      </c>
      <c r="BA7" s="162">
        <f t="shared" si="9"/>
        <v>448000</v>
      </c>
      <c r="BB7" s="162">
        <f t="shared" si="9"/>
        <v>448000</v>
      </c>
      <c r="BC7" s="162">
        <f t="shared" si="9"/>
        <v>448000</v>
      </c>
      <c r="BD7" s="162">
        <f t="shared" si="9"/>
        <v>448000</v>
      </c>
      <c r="BE7" s="162">
        <f t="shared" si="9"/>
        <v>448000</v>
      </c>
      <c r="BF7" s="162">
        <f t="shared" si="9"/>
        <v>448000</v>
      </c>
      <c r="BG7" s="162">
        <f t="shared" si="9"/>
        <v>448000</v>
      </c>
      <c r="BH7" s="162">
        <f t="shared" si="9"/>
        <v>448000</v>
      </c>
      <c r="BI7" s="188">
        <f t="shared" si="9"/>
        <v>448000</v>
      </c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</row>
    <row r="8" spans="1:144" s="22" customFormat="1">
      <c r="A8" s="170" t="s">
        <v>138</v>
      </c>
      <c r="B8" s="162">
        <f>Premissas!B50/12</f>
        <v>7560</v>
      </c>
      <c r="C8" s="171">
        <f>B8</f>
        <v>7560</v>
      </c>
      <c r="D8" s="171">
        <f t="shared" ref="D8:M9" si="11">C8</f>
        <v>7560</v>
      </c>
      <c r="E8" s="171">
        <f t="shared" si="11"/>
        <v>7560</v>
      </c>
      <c r="F8" s="171">
        <f t="shared" si="11"/>
        <v>7560</v>
      </c>
      <c r="G8" s="171">
        <f t="shared" si="11"/>
        <v>7560</v>
      </c>
      <c r="H8" s="171">
        <f t="shared" si="11"/>
        <v>7560</v>
      </c>
      <c r="I8" s="171">
        <f t="shared" si="11"/>
        <v>7560</v>
      </c>
      <c r="J8" s="171">
        <f t="shared" si="11"/>
        <v>7560</v>
      </c>
      <c r="K8" s="171">
        <f t="shared" si="11"/>
        <v>7560</v>
      </c>
      <c r="L8" s="171">
        <f t="shared" si="11"/>
        <v>7560</v>
      </c>
      <c r="M8" s="171">
        <f t="shared" si="11"/>
        <v>7560</v>
      </c>
      <c r="N8" s="162">
        <f>Premissas!C50/12</f>
        <v>20160</v>
      </c>
      <c r="O8" s="162">
        <f t="shared" si="6"/>
        <v>20160</v>
      </c>
      <c r="P8" s="162">
        <f t="shared" si="6"/>
        <v>20160</v>
      </c>
      <c r="Q8" s="162">
        <f t="shared" si="6"/>
        <v>20160</v>
      </c>
      <c r="R8" s="162">
        <f t="shared" si="6"/>
        <v>20160</v>
      </c>
      <c r="S8" s="162">
        <f t="shared" si="6"/>
        <v>20160</v>
      </c>
      <c r="T8" s="162">
        <f t="shared" si="6"/>
        <v>20160</v>
      </c>
      <c r="U8" s="162">
        <f t="shared" si="6"/>
        <v>20160</v>
      </c>
      <c r="V8" s="162">
        <f t="shared" si="6"/>
        <v>20160</v>
      </c>
      <c r="W8" s="162">
        <f t="shared" si="6"/>
        <v>20160</v>
      </c>
      <c r="X8" s="162">
        <f t="shared" si="6"/>
        <v>20160</v>
      </c>
      <c r="Y8" s="162">
        <f t="shared" si="6"/>
        <v>20160</v>
      </c>
      <c r="Z8" s="162">
        <f>Premissas!D50/12</f>
        <v>37800</v>
      </c>
      <c r="AA8" s="162">
        <f t="shared" si="7"/>
        <v>37800</v>
      </c>
      <c r="AB8" s="162">
        <f t="shared" si="7"/>
        <v>37800</v>
      </c>
      <c r="AC8" s="162">
        <f t="shared" si="7"/>
        <v>37800</v>
      </c>
      <c r="AD8" s="162">
        <f t="shared" si="7"/>
        <v>37800</v>
      </c>
      <c r="AE8" s="162">
        <f t="shared" si="7"/>
        <v>37800</v>
      </c>
      <c r="AF8" s="162">
        <f t="shared" si="7"/>
        <v>37800</v>
      </c>
      <c r="AG8" s="162">
        <f t="shared" si="7"/>
        <v>37800</v>
      </c>
      <c r="AH8" s="162">
        <f t="shared" si="7"/>
        <v>37800</v>
      </c>
      <c r="AI8" s="162">
        <f t="shared" si="7"/>
        <v>37800</v>
      </c>
      <c r="AJ8" s="162">
        <f t="shared" si="7"/>
        <v>37800</v>
      </c>
      <c r="AK8" s="162">
        <f t="shared" si="7"/>
        <v>37800</v>
      </c>
      <c r="AL8" s="162">
        <f>Premissas!E50/12</f>
        <v>60480</v>
      </c>
      <c r="AM8" s="162">
        <f t="shared" si="8"/>
        <v>60480</v>
      </c>
      <c r="AN8" s="162">
        <f t="shared" si="8"/>
        <v>60480</v>
      </c>
      <c r="AO8" s="162">
        <f t="shared" si="8"/>
        <v>60480</v>
      </c>
      <c r="AP8" s="162">
        <f t="shared" si="8"/>
        <v>60480</v>
      </c>
      <c r="AQ8" s="162">
        <f t="shared" si="8"/>
        <v>60480</v>
      </c>
      <c r="AR8" s="162">
        <f t="shared" si="8"/>
        <v>60480</v>
      </c>
      <c r="AS8" s="162">
        <f t="shared" si="8"/>
        <v>60480</v>
      </c>
      <c r="AT8" s="162">
        <f t="shared" si="8"/>
        <v>60480</v>
      </c>
      <c r="AU8" s="162">
        <f t="shared" si="8"/>
        <v>60480</v>
      </c>
      <c r="AV8" s="162">
        <f t="shared" si="8"/>
        <v>60480</v>
      </c>
      <c r="AW8" s="162">
        <f t="shared" si="8"/>
        <v>60480</v>
      </c>
      <c r="AX8" s="162">
        <f>Premissas!F50/12</f>
        <v>80640</v>
      </c>
      <c r="AY8" s="162">
        <f t="shared" si="9"/>
        <v>80640</v>
      </c>
      <c r="AZ8" s="162">
        <f t="shared" si="9"/>
        <v>80640</v>
      </c>
      <c r="BA8" s="162">
        <f t="shared" si="9"/>
        <v>80640</v>
      </c>
      <c r="BB8" s="162">
        <f t="shared" si="9"/>
        <v>80640</v>
      </c>
      <c r="BC8" s="162">
        <f t="shared" si="9"/>
        <v>80640</v>
      </c>
      <c r="BD8" s="162">
        <f t="shared" si="9"/>
        <v>80640</v>
      </c>
      <c r="BE8" s="162">
        <f t="shared" si="9"/>
        <v>80640</v>
      </c>
      <c r="BF8" s="162">
        <f t="shared" si="9"/>
        <v>80640</v>
      </c>
      <c r="BG8" s="162">
        <f t="shared" si="9"/>
        <v>80640</v>
      </c>
      <c r="BH8" s="162">
        <f t="shared" si="9"/>
        <v>80640</v>
      </c>
      <c r="BI8" s="188">
        <f t="shared" si="9"/>
        <v>80640</v>
      </c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</row>
    <row r="9" spans="1:144" s="22" customFormat="1">
      <c r="A9" s="170" t="s">
        <v>139</v>
      </c>
      <c r="B9" s="162">
        <f>Premissas!B51/12</f>
        <v>1260</v>
      </c>
      <c r="C9" s="163">
        <f>B9</f>
        <v>1260</v>
      </c>
      <c r="D9" s="171">
        <f t="shared" si="11"/>
        <v>1260</v>
      </c>
      <c r="E9" s="171">
        <f t="shared" si="11"/>
        <v>1260</v>
      </c>
      <c r="F9" s="171">
        <f t="shared" si="11"/>
        <v>1260</v>
      </c>
      <c r="G9" s="171">
        <f t="shared" si="11"/>
        <v>1260</v>
      </c>
      <c r="H9" s="171">
        <f t="shared" si="11"/>
        <v>1260</v>
      </c>
      <c r="I9" s="171">
        <f t="shared" si="11"/>
        <v>1260</v>
      </c>
      <c r="J9" s="171">
        <f t="shared" si="11"/>
        <v>1260</v>
      </c>
      <c r="K9" s="171">
        <f t="shared" si="11"/>
        <v>1260</v>
      </c>
      <c r="L9" s="171">
        <f t="shared" si="11"/>
        <v>1260</v>
      </c>
      <c r="M9" s="171">
        <f t="shared" si="11"/>
        <v>1260</v>
      </c>
      <c r="N9" s="162">
        <f>Premissas!C51/12</f>
        <v>3360</v>
      </c>
      <c r="O9" s="162">
        <f t="shared" si="6"/>
        <v>3360</v>
      </c>
      <c r="P9" s="162">
        <f t="shared" si="6"/>
        <v>3360</v>
      </c>
      <c r="Q9" s="162">
        <f t="shared" si="6"/>
        <v>3360</v>
      </c>
      <c r="R9" s="162">
        <f t="shared" si="6"/>
        <v>3360</v>
      </c>
      <c r="S9" s="162">
        <f t="shared" si="6"/>
        <v>3360</v>
      </c>
      <c r="T9" s="162">
        <f t="shared" si="6"/>
        <v>3360</v>
      </c>
      <c r="U9" s="162">
        <f t="shared" si="6"/>
        <v>3360</v>
      </c>
      <c r="V9" s="162">
        <f t="shared" si="6"/>
        <v>3360</v>
      </c>
      <c r="W9" s="162">
        <f t="shared" si="6"/>
        <v>3360</v>
      </c>
      <c r="X9" s="162">
        <f t="shared" si="6"/>
        <v>3360</v>
      </c>
      <c r="Y9" s="162">
        <f t="shared" si="6"/>
        <v>3360</v>
      </c>
      <c r="Z9" s="162">
        <f>Premissas!D51/12</f>
        <v>6300</v>
      </c>
      <c r="AA9" s="162">
        <f t="shared" si="7"/>
        <v>6300</v>
      </c>
      <c r="AB9" s="162">
        <f t="shared" si="7"/>
        <v>6300</v>
      </c>
      <c r="AC9" s="162">
        <f t="shared" si="7"/>
        <v>6300</v>
      </c>
      <c r="AD9" s="162">
        <f t="shared" si="7"/>
        <v>6300</v>
      </c>
      <c r="AE9" s="162">
        <f t="shared" si="7"/>
        <v>6300</v>
      </c>
      <c r="AF9" s="162">
        <f t="shared" si="7"/>
        <v>6300</v>
      </c>
      <c r="AG9" s="162">
        <f t="shared" si="7"/>
        <v>6300</v>
      </c>
      <c r="AH9" s="162">
        <f t="shared" si="7"/>
        <v>6300</v>
      </c>
      <c r="AI9" s="162">
        <f t="shared" si="7"/>
        <v>6300</v>
      </c>
      <c r="AJ9" s="162">
        <f t="shared" si="7"/>
        <v>6300</v>
      </c>
      <c r="AK9" s="162">
        <f t="shared" si="7"/>
        <v>6300</v>
      </c>
      <c r="AL9" s="162">
        <f>Premissas!E51/12</f>
        <v>10080</v>
      </c>
      <c r="AM9" s="162">
        <f t="shared" si="8"/>
        <v>10080</v>
      </c>
      <c r="AN9" s="162">
        <f t="shared" si="8"/>
        <v>10080</v>
      </c>
      <c r="AO9" s="162">
        <f t="shared" si="8"/>
        <v>10080</v>
      </c>
      <c r="AP9" s="162">
        <f t="shared" si="8"/>
        <v>10080</v>
      </c>
      <c r="AQ9" s="162">
        <f t="shared" si="8"/>
        <v>10080</v>
      </c>
      <c r="AR9" s="162">
        <f t="shared" si="8"/>
        <v>10080</v>
      </c>
      <c r="AS9" s="162">
        <f t="shared" si="8"/>
        <v>10080</v>
      </c>
      <c r="AT9" s="162">
        <f t="shared" si="8"/>
        <v>10080</v>
      </c>
      <c r="AU9" s="162">
        <f t="shared" si="8"/>
        <v>10080</v>
      </c>
      <c r="AV9" s="162">
        <f t="shared" si="8"/>
        <v>10080</v>
      </c>
      <c r="AW9" s="162">
        <f t="shared" si="8"/>
        <v>10080</v>
      </c>
      <c r="AX9" s="162">
        <f>Premissas!F51/12</f>
        <v>13440</v>
      </c>
      <c r="AY9" s="162">
        <f t="shared" si="9"/>
        <v>13440</v>
      </c>
      <c r="AZ9" s="162">
        <f t="shared" si="9"/>
        <v>13440</v>
      </c>
      <c r="BA9" s="162">
        <f t="shared" si="9"/>
        <v>13440</v>
      </c>
      <c r="BB9" s="162">
        <f t="shared" si="9"/>
        <v>13440</v>
      </c>
      <c r="BC9" s="162">
        <f t="shared" si="9"/>
        <v>13440</v>
      </c>
      <c r="BD9" s="162">
        <f t="shared" si="9"/>
        <v>13440</v>
      </c>
      <c r="BE9" s="162">
        <f t="shared" si="9"/>
        <v>13440</v>
      </c>
      <c r="BF9" s="162">
        <f t="shared" si="9"/>
        <v>13440</v>
      </c>
      <c r="BG9" s="162">
        <f t="shared" si="9"/>
        <v>13440</v>
      </c>
      <c r="BH9" s="162">
        <f t="shared" si="9"/>
        <v>13440</v>
      </c>
      <c r="BI9" s="188">
        <f t="shared" si="9"/>
        <v>13440</v>
      </c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</row>
    <row r="10" spans="1:144" s="174" customFormat="1" ht="15.75">
      <c r="A10" s="172" t="s">
        <v>100</v>
      </c>
      <c r="B10" s="173">
        <f>SUM(B5:B9)</f>
        <v>51219</v>
      </c>
      <c r="C10" s="173">
        <f t="shared" ref="C10:BI10" si="12">SUM(C5:C9)</f>
        <v>51219</v>
      </c>
      <c r="D10" s="173">
        <f t="shared" si="12"/>
        <v>51219</v>
      </c>
      <c r="E10" s="173">
        <f t="shared" si="12"/>
        <v>51219</v>
      </c>
      <c r="F10" s="173">
        <f t="shared" si="12"/>
        <v>51219</v>
      </c>
      <c r="G10" s="173">
        <f t="shared" si="12"/>
        <v>51219</v>
      </c>
      <c r="H10" s="173">
        <f t="shared" si="12"/>
        <v>51219</v>
      </c>
      <c r="I10" s="173">
        <f t="shared" si="12"/>
        <v>51219</v>
      </c>
      <c r="J10" s="173">
        <f t="shared" si="12"/>
        <v>51219</v>
      </c>
      <c r="K10" s="173">
        <f t="shared" si="12"/>
        <v>51219</v>
      </c>
      <c r="L10" s="173">
        <f t="shared" si="12"/>
        <v>51219</v>
      </c>
      <c r="M10" s="173">
        <f t="shared" si="12"/>
        <v>51219</v>
      </c>
      <c r="N10" s="173">
        <f t="shared" si="12"/>
        <v>137116</v>
      </c>
      <c r="O10" s="173">
        <f t="shared" si="12"/>
        <v>137116</v>
      </c>
      <c r="P10" s="173">
        <f t="shared" si="12"/>
        <v>137116</v>
      </c>
      <c r="Q10" s="173">
        <f t="shared" si="12"/>
        <v>137116</v>
      </c>
      <c r="R10" s="173">
        <f t="shared" si="12"/>
        <v>137116</v>
      </c>
      <c r="S10" s="173">
        <f t="shared" si="12"/>
        <v>137116</v>
      </c>
      <c r="T10" s="173">
        <f t="shared" si="12"/>
        <v>137116</v>
      </c>
      <c r="U10" s="173">
        <f t="shared" si="12"/>
        <v>137116</v>
      </c>
      <c r="V10" s="173">
        <f t="shared" si="12"/>
        <v>137116</v>
      </c>
      <c r="W10" s="173">
        <f t="shared" si="12"/>
        <v>137116</v>
      </c>
      <c r="X10" s="173">
        <f t="shared" si="12"/>
        <v>137116</v>
      </c>
      <c r="Y10" s="173">
        <f t="shared" si="12"/>
        <v>137116</v>
      </c>
      <c r="Z10" s="173">
        <f t="shared" si="12"/>
        <v>259087.5</v>
      </c>
      <c r="AA10" s="173">
        <f t="shared" si="12"/>
        <v>259087.5</v>
      </c>
      <c r="AB10" s="173">
        <f t="shared" si="12"/>
        <v>259087.5</v>
      </c>
      <c r="AC10" s="173">
        <f t="shared" si="12"/>
        <v>259087.5</v>
      </c>
      <c r="AD10" s="173">
        <f t="shared" si="12"/>
        <v>259087.5</v>
      </c>
      <c r="AE10" s="173">
        <f t="shared" si="12"/>
        <v>259087.5</v>
      </c>
      <c r="AF10" s="173">
        <f t="shared" si="12"/>
        <v>259087.5</v>
      </c>
      <c r="AG10" s="173">
        <f t="shared" si="12"/>
        <v>259087.5</v>
      </c>
      <c r="AH10" s="173">
        <f t="shared" si="12"/>
        <v>259087.5</v>
      </c>
      <c r="AI10" s="173">
        <f t="shared" si="12"/>
        <v>259087.5</v>
      </c>
      <c r="AJ10" s="173">
        <f t="shared" si="12"/>
        <v>259087.5</v>
      </c>
      <c r="AK10" s="173">
        <f t="shared" si="12"/>
        <v>259087.5</v>
      </c>
      <c r="AL10" s="173">
        <f t="shared" si="12"/>
        <v>414540</v>
      </c>
      <c r="AM10" s="173">
        <f t="shared" si="12"/>
        <v>414540</v>
      </c>
      <c r="AN10" s="173">
        <f t="shared" si="12"/>
        <v>414540</v>
      </c>
      <c r="AO10" s="173">
        <f t="shared" si="12"/>
        <v>414540</v>
      </c>
      <c r="AP10" s="173">
        <f t="shared" si="12"/>
        <v>414540</v>
      </c>
      <c r="AQ10" s="173">
        <f t="shared" si="12"/>
        <v>414540</v>
      </c>
      <c r="AR10" s="173">
        <f t="shared" si="12"/>
        <v>414540</v>
      </c>
      <c r="AS10" s="173">
        <f t="shared" si="12"/>
        <v>414540</v>
      </c>
      <c r="AT10" s="173">
        <f t="shared" si="12"/>
        <v>414540</v>
      </c>
      <c r="AU10" s="173">
        <f t="shared" si="12"/>
        <v>414540</v>
      </c>
      <c r="AV10" s="173">
        <f t="shared" si="12"/>
        <v>414540</v>
      </c>
      <c r="AW10" s="173">
        <f t="shared" si="12"/>
        <v>414540</v>
      </c>
      <c r="AX10" s="173">
        <f t="shared" si="12"/>
        <v>555380</v>
      </c>
      <c r="AY10" s="173">
        <f t="shared" si="12"/>
        <v>555380</v>
      </c>
      <c r="AZ10" s="173">
        <f t="shared" si="12"/>
        <v>555380</v>
      </c>
      <c r="BA10" s="173">
        <f t="shared" si="12"/>
        <v>555380</v>
      </c>
      <c r="BB10" s="173">
        <f t="shared" si="12"/>
        <v>555380</v>
      </c>
      <c r="BC10" s="173">
        <f t="shared" si="12"/>
        <v>555380</v>
      </c>
      <c r="BD10" s="173">
        <f t="shared" si="12"/>
        <v>555380</v>
      </c>
      <c r="BE10" s="173">
        <f t="shared" si="12"/>
        <v>555380</v>
      </c>
      <c r="BF10" s="173">
        <f t="shared" si="12"/>
        <v>555380</v>
      </c>
      <c r="BG10" s="173">
        <f t="shared" si="12"/>
        <v>555380</v>
      </c>
      <c r="BH10" s="173">
        <f t="shared" si="12"/>
        <v>555380</v>
      </c>
      <c r="BI10" s="189">
        <f t="shared" si="12"/>
        <v>555380</v>
      </c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</row>
    <row r="11" spans="1:144" s="21" customFormat="1">
      <c r="A11" s="56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</row>
    <row r="12" spans="1:144" s="57" customFormat="1">
      <c r="A12" s="58" t="s">
        <v>85</v>
      </c>
      <c r="B12" s="59" t="s">
        <v>174</v>
      </c>
      <c r="C12" s="59" t="s">
        <v>175</v>
      </c>
      <c r="D12" s="59" t="s">
        <v>176</v>
      </c>
      <c r="E12" s="59" t="s">
        <v>177</v>
      </c>
      <c r="F12" s="59" t="s">
        <v>178</v>
      </c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</row>
    <row r="13" spans="1:144">
      <c r="A13" s="170" t="s">
        <v>125</v>
      </c>
      <c r="B13" s="163">
        <f>Premissas!B47</f>
        <v>2394</v>
      </c>
      <c r="C13" s="163">
        <f>Premissas!C47</f>
        <v>9576</v>
      </c>
      <c r="D13" s="163">
        <f>Premissas!D47</f>
        <v>29925</v>
      </c>
      <c r="E13" s="163">
        <f>Premissas!E47</f>
        <v>47879.999999999993</v>
      </c>
      <c r="F13" s="163">
        <f>Premissas!F47</f>
        <v>79800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</row>
    <row r="14" spans="1:144">
      <c r="A14" s="170" t="s">
        <v>169</v>
      </c>
      <c r="B14" s="163">
        <f>Premissas!B48</f>
        <v>2394</v>
      </c>
      <c r="C14" s="163">
        <f>Premissas!C48</f>
        <v>9576</v>
      </c>
      <c r="D14" s="163">
        <f>Premissas!D48</f>
        <v>29925</v>
      </c>
      <c r="E14" s="163">
        <f>Premissas!E48</f>
        <v>47879.999999999993</v>
      </c>
      <c r="F14" s="163">
        <f>Premissas!F48</f>
        <v>79800</v>
      </c>
      <c r="G14" s="165"/>
      <c r="H14" s="165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</row>
    <row r="15" spans="1:144">
      <c r="A15" s="170" t="s">
        <v>137</v>
      </c>
      <c r="B15" s="163">
        <f>Premissas!B49</f>
        <v>504000</v>
      </c>
      <c r="C15" s="163">
        <f>Premissas!C49</f>
        <v>1344000</v>
      </c>
      <c r="D15" s="163">
        <f>Premissas!D49</f>
        <v>2520000</v>
      </c>
      <c r="E15" s="163">
        <f>Premissas!E49</f>
        <v>4032000</v>
      </c>
      <c r="F15" s="163">
        <f>Premissas!F49</f>
        <v>5376000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</row>
    <row r="16" spans="1:144">
      <c r="A16" s="170" t="s">
        <v>138</v>
      </c>
      <c r="B16" s="163">
        <f>Premissas!B50</f>
        <v>90720</v>
      </c>
      <c r="C16" s="163">
        <f>Premissas!C50</f>
        <v>241920</v>
      </c>
      <c r="D16" s="163">
        <f>Premissas!D50</f>
        <v>453600</v>
      </c>
      <c r="E16" s="163">
        <f>Premissas!E50</f>
        <v>725760</v>
      </c>
      <c r="F16" s="163">
        <f>Premissas!F50</f>
        <v>967680</v>
      </c>
      <c r="G16" s="165"/>
      <c r="H16" s="165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</row>
    <row r="17" spans="1:62">
      <c r="A17" s="170" t="s">
        <v>139</v>
      </c>
      <c r="B17" s="163">
        <f>Premissas!B51</f>
        <v>15120</v>
      </c>
      <c r="C17" s="163">
        <f>Premissas!C51</f>
        <v>40320</v>
      </c>
      <c r="D17" s="163">
        <f>Premissas!D51</f>
        <v>75600</v>
      </c>
      <c r="E17" s="163">
        <f>Premissas!E51</f>
        <v>120960</v>
      </c>
      <c r="F17" s="163">
        <f>Premissas!F51</f>
        <v>161280</v>
      </c>
      <c r="G17" s="21"/>
      <c r="H17" s="166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</row>
    <row r="18" spans="1:62" ht="15.75">
      <c r="A18" s="172" t="s">
        <v>100</v>
      </c>
      <c r="B18" s="175">
        <f>Premissas!B52</f>
        <v>614628</v>
      </c>
      <c r="C18" s="175">
        <f>Premissas!C52</f>
        <v>1645392</v>
      </c>
      <c r="D18" s="175">
        <f>Premissas!D52</f>
        <v>3109050</v>
      </c>
      <c r="E18" s="175">
        <f>Premissas!E52</f>
        <v>4974480</v>
      </c>
      <c r="F18" s="175">
        <f>Premissas!F52</f>
        <v>6664560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</row>
    <row r="19" spans="1:62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</row>
    <row r="20" spans="1:62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6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62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6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6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6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6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62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6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</sheetData>
  <pageMargins left="0.7" right="0.7" top="0.75" bottom="0.75" header="0.3" footer="0.3"/>
  <pageSetup paperSize="9" orientation="portrait" horizontalDpi="300" verticalDpi="3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N18"/>
  <sheetViews>
    <sheetView topLeftCell="A24" zoomScaleNormal="100" zoomScalePageLayoutView="85" workbookViewId="0">
      <selection activeCell="G18" sqref="G18"/>
    </sheetView>
  </sheetViews>
  <sheetFormatPr defaultColWidth="8.85546875" defaultRowHeight="15"/>
  <cols>
    <col min="1" max="1" width="51.5703125" customWidth="1"/>
    <col min="2" max="2" width="17" customWidth="1"/>
    <col min="3" max="3" width="15" bestFit="1" customWidth="1"/>
    <col min="4" max="5" width="14.5703125" bestFit="1" customWidth="1"/>
    <col min="6" max="6" width="15" bestFit="1" customWidth="1"/>
    <col min="7" max="12" width="11.140625" bestFit="1" customWidth="1"/>
    <col min="13" max="13" width="18.5703125" bestFit="1" customWidth="1"/>
    <col min="14" max="14" width="12.140625" bestFit="1" customWidth="1"/>
    <col min="15" max="24" width="7.7109375" bestFit="1" customWidth="1"/>
    <col min="25" max="25" width="18.85546875" bestFit="1" customWidth="1"/>
    <col min="26" max="26" width="12.140625" bestFit="1" customWidth="1"/>
    <col min="27" max="36" width="7.7109375" bestFit="1" customWidth="1"/>
    <col min="37" max="37" width="19.140625" customWidth="1"/>
    <col min="38" max="38" width="5.85546875" customWidth="1"/>
    <col min="39" max="48" width="7.7109375" bestFit="1" customWidth="1"/>
    <col min="49" max="49" width="17.7109375" customWidth="1"/>
    <col min="50" max="50" width="12.140625" bestFit="1" customWidth="1"/>
    <col min="51" max="60" width="7.7109375" bestFit="1" customWidth="1"/>
    <col min="61" max="61" width="20.5703125" customWidth="1"/>
    <col min="63" max="63" width="11.42578125" bestFit="1" customWidth="1"/>
    <col min="80" max="80" width="11.42578125" bestFit="1" customWidth="1"/>
  </cols>
  <sheetData>
    <row r="1" spans="1:92" ht="18">
      <c r="A1" s="50" t="s">
        <v>81</v>
      </c>
      <c r="CH1" s="20"/>
    </row>
    <row r="2" spans="1:92">
      <c r="A2" s="5" t="str">
        <f>CONCATENATE(Company, ": ",start, " -  ",end)</f>
        <v>Crush: Mês 1 -  Mês 60</v>
      </c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</row>
    <row r="3" spans="1:92" ht="15.75" thickBot="1"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</row>
    <row r="4" spans="1:92" ht="16.5" thickTop="1">
      <c r="A4" s="23" t="s">
        <v>114</v>
      </c>
      <c r="B4" s="24">
        <v>1</v>
      </c>
      <c r="C4" s="25">
        <v>2</v>
      </c>
      <c r="D4" s="24">
        <v>3</v>
      </c>
      <c r="E4" s="24">
        <v>4</v>
      </c>
      <c r="F4" s="25">
        <v>5</v>
      </c>
      <c r="G4" s="24">
        <v>6</v>
      </c>
      <c r="H4" s="24">
        <v>7</v>
      </c>
      <c r="I4" s="25">
        <v>8</v>
      </c>
      <c r="J4" s="24">
        <v>9</v>
      </c>
      <c r="K4" s="24">
        <v>10</v>
      </c>
      <c r="L4" s="25">
        <v>11</v>
      </c>
      <c r="M4" s="24">
        <v>12</v>
      </c>
      <c r="N4" s="24">
        <v>13</v>
      </c>
      <c r="O4" s="25">
        <v>14</v>
      </c>
      <c r="P4" s="24">
        <v>15</v>
      </c>
      <c r="Q4" s="24">
        <v>16</v>
      </c>
      <c r="R4" s="25">
        <v>17</v>
      </c>
      <c r="S4" s="24">
        <v>18</v>
      </c>
      <c r="T4" s="24">
        <v>19</v>
      </c>
      <c r="U4" s="25">
        <v>20</v>
      </c>
      <c r="V4" s="24">
        <v>21</v>
      </c>
      <c r="W4" s="24">
        <v>22</v>
      </c>
      <c r="X4" s="25">
        <v>23</v>
      </c>
      <c r="Y4" s="24">
        <v>24</v>
      </c>
      <c r="Z4" s="24">
        <v>25</v>
      </c>
      <c r="AA4" s="25">
        <v>26</v>
      </c>
      <c r="AB4" s="24">
        <v>27</v>
      </c>
      <c r="AC4" s="24">
        <v>28</v>
      </c>
      <c r="AD4" s="25">
        <v>29</v>
      </c>
      <c r="AE4" s="24">
        <v>30</v>
      </c>
      <c r="AF4" s="24">
        <v>31</v>
      </c>
      <c r="AG4" s="25">
        <v>32</v>
      </c>
      <c r="AH4" s="24">
        <v>33</v>
      </c>
      <c r="AI4" s="24">
        <v>34</v>
      </c>
      <c r="AJ4" s="25">
        <v>35</v>
      </c>
      <c r="AK4" s="24">
        <v>36</v>
      </c>
      <c r="AL4" s="24">
        <v>37</v>
      </c>
      <c r="AM4" s="25">
        <v>38</v>
      </c>
      <c r="AN4" s="24">
        <v>39</v>
      </c>
      <c r="AO4" s="24">
        <v>40</v>
      </c>
      <c r="AP4" s="25">
        <v>41</v>
      </c>
      <c r="AQ4" s="24">
        <v>42</v>
      </c>
      <c r="AR4" s="24">
        <v>43</v>
      </c>
      <c r="AS4" s="25">
        <v>44</v>
      </c>
      <c r="AT4" s="24">
        <v>45</v>
      </c>
      <c r="AU4" s="24">
        <v>46</v>
      </c>
      <c r="AV4" s="25">
        <v>47</v>
      </c>
      <c r="AW4" s="24">
        <v>48</v>
      </c>
      <c r="AX4" s="24">
        <v>49</v>
      </c>
      <c r="AY4" s="25">
        <v>50</v>
      </c>
      <c r="AZ4" s="24">
        <v>51</v>
      </c>
      <c r="BA4" s="24">
        <v>52</v>
      </c>
      <c r="BB4" s="25">
        <v>53</v>
      </c>
      <c r="BC4" s="24">
        <v>54</v>
      </c>
      <c r="BD4" s="24">
        <v>55</v>
      </c>
      <c r="BE4" s="25">
        <v>56</v>
      </c>
      <c r="BF4" s="24">
        <v>57</v>
      </c>
      <c r="BG4" s="24">
        <v>58</v>
      </c>
      <c r="BH4" s="25">
        <v>59</v>
      </c>
      <c r="BI4" s="35">
        <v>60</v>
      </c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21"/>
      <c r="CJ4" s="21"/>
      <c r="CK4" s="21"/>
      <c r="CL4" s="21"/>
      <c r="CM4" s="21"/>
      <c r="CN4" s="21"/>
    </row>
    <row r="5" spans="1:92">
      <c r="A5" s="33" t="s">
        <v>134</v>
      </c>
      <c r="B5" s="98">
        <f>2000*Funcionários!B47</f>
        <v>12000</v>
      </c>
      <c r="C5" s="98">
        <f>1949*SUM(Funcionários!C9:C12)-1949*SUM(Funcionários!B9:B12)</f>
        <v>0</v>
      </c>
      <c r="D5" s="98">
        <f>1949*SUM(Funcionários!D9:D12)-1949*SUM(Funcionários!C9:C12)</f>
        <v>0</v>
      </c>
      <c r="E5" s="98">
        <f>1949*SUM(Funcionários!E9:E12)-1949*SUM(Funcionários!D9:D12)</f>
        <v>0</v>
      </c>
      <c r="F5" s="98">
        <f>1949*SUM(Funcionários!F9:F12)-1949*SUM(Funcionários!E9:E12)</f>
        <v>0</v>
      </c>
      <c r="G5" s="98">
        <f>1949*SUM(Funcionários!G9:G12)-1949*SUM(Funcionários!F9:F12)</f>
        <v>0</v>
      </c>
      <c r="H5" s="98">
        <f>1949*SUM(Funcionários!H9:H12)-1949*SUM(Funcionários!G9:G12)</f>
        <v>0</v>
      </c>
      <c r="I5" s="98">
        <f>1949*SUM(Funcionários!I9:I12)-1949*SUM(Funcionários!H9:H12)</f>
        <v>0</v>
      </c>
      <c r="J5" s="98">
        <f>1949*SUM(Funcionários!J9:J12)-1949*SUM(Funcionários!I9:I12)</f>
        <v>0</v>
      </c>
      <c r="K5" s="98">
        <f>1949*SUM(Funcionários!K9:K12)-1949*SUM(Funcionários!J9:J12)</f>
        <v>0</v>
      </c>
      <c r="L5" s="98">
        <f>1949*SUM(Funcionários!L9:L12)-1949*SUM(Funcionários!K9:K12)</f>
        <v>0</v>
      </c>
      <c r="M5" s="98">
        <f>2000*(Funcionários!C47-Funcionários!B47)</f>
        <v>10000</v>
      </c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>
        <f>M5*1.5</f>
        <v>15000</v>
      </c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>
        <f>M5</f>
        <v>10000</v>
      </c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>
        <f>M5</f>
        <v>10000</v>
      </c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>
        <f>Y5</f>
        <v>15000</v>
      </c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21"/>
      <c r="CJ5" s="21"/>
      <c r="CK5" s="21"/>
      <c r="CL5" s="21"/>
      <c r="CM5" s="21"/>
      <c r="CN5" s="21"/>
    </row>
    <row r="6" spans="1:92">
      <c r="A6" s="33" t="s">
        <v>135</v>
      </c>
      <c r="B6" s="98">
        <f>500*Funcionários!B47</f>
        <v>3000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>
        <f>500*(Funcionários!C47-Funcionários!B47)</f>
        <v>2500</v>
      </c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>
        <f t="shared" ref="Y6:Y9" si="0">M6*1.5</f>
        <v>3750</v>
      </c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>
        <f t="shared" ref="AK6:AK9" si="1">M6</f>
        <v>2500</v>
      </c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>
        <f t="shared" ref="AW6:AW9" si="2">M6</f>
        <v>2500</v>
      </c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>
        <f t="shared" ref="BI6:BI9" si="3">Y6</f>
        <v>3750</v>
      </c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21"/>
      <c r="CJ6" s="21"/>
      <c r="CK6" s="21"/>
      <c r="CL6" s="21"/>
      <c r="CM6" s="21"/>
      <c r="CN6" s="21"/>
    </row>
    <row r="7" spans="1:92">
      <c r="A7" s="33" t="s">
        <v>140</v>
      </c>
      <c r="B7" s="98">
        <f>500*Funcionários!B47</f>
        <v>3000</v>
      </c>
      <c r="C7" s="98">
        <f>351.4*SUM(Funcionários!C9:C12)-351.4*SUM(Funcionários!B9:B12)</f>
        <v>0</v>
      </c>
      <c r="D7" s="98">
        <f>351.4*SUM(Funcionários!D9:D12)-351.4*SUM(Funcionários!C9:C12)</f>
        <v>0</v>
      </c>
      <c r="E7" s="98">
        <f>351.4*SUM(Funcionários!E9:E12)-351.4*SUM(Funcionários!D9:D12)</f>
        <v>0</v>
      </c>
      <c r="F7" s="98">
        <f>351.4*SUM(Funcionários!F9:F12)-351.4*SUM(Funcionários!E9:E12)</f>
        <v>0</v>
      </c>
      <c r="G7" s="98">
        <f>351.4*SUM(Funcionários!G9:G12)-351.4*SUM(Funcionários!F9:F12)</f>
        <v>0</v>
      </c>
      <c r="H7" s="98">
        <f>351.4*SUM(Funcionários!H9:H12)-351.4*SUM(Funcionários!G9:G12)</f>
        <v>0</v>
      </c>
      <c r="I7" s="98">
        <f>351.4*SUM(Funcionários!I9:I12)-351.4*SUM(Funcionários!H9:H12)</f>
        <v>0</v>
      </c>
      <c r="J7" s="98">
        <f>351.4*SUM(Funcionários!J9:J12)-351.4*SUM(Funcionários!I9:I12)</f>
        <v>0</v>
      </c>
      <c r="K7" s="98">
        <f>351.4*SUM(Funcionários!K9:K12)-351.4*SUM(Funcionários!J9:J12)</f>
        <v>0</v>
      </c>
      <c r="L7" s="98">
        <f>351.4*SUM(Funcionários!L9:L12)-351.4*SUM(Funcionários!K9:K12)</f>
        <v>0</v>
      </c>
      <c r="M7" s="98">
        <f>500*(Funcionários!C47-Funcionários!B47)</f>
        <v>2500</v>
      </c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>
        <f t="shared" si="0"/>
        <v>3750</v>
      </c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>
        <f t="shared" si="1"/>
        <v>2500</v>
      </c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>
        <f t="shared" si="2"/>
        <v>2500</v>
      </c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>
        <f t="shared" si="3"/>
        <v>3750</v>
      </c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21"/>
      <c r="CJ7" s="21"/>
      <c r="CK7" s="21"/>
      <c r="CL7" s="21"/>
      <c r="CM7" s="21"/>
      <c r="CN7" s="21"/>
    </row>
    <row r="8" spans="1:92">
      <c r="A8" s="33" t="s">
        <v>141</v>
      </c>
      <c r="B8" s="98">
        <f>400*Funcionários!B47</f>
        <v>2400</v>
      </c>
      <c r="C8" s="98">
        <f>199.9*(SUM(Funcionários!C9:C12)+2)-199.9*(SUM(Funcionários!B9:B12)+2)</f>
        <v>0</v>
      </c>
      <c r="D8" s="98">
        <f>199.9*(SUM(Funcionários!D9:D12)+2)-199.9*(SUM(Funcionários!C9:C12)+2)</f>
        <v>0</v>
      </c>
      <c r="E8" s="98">
        <f>199.9*(SUM(Funcionários!E9:E12)+2)-199.9*(SUM(Funcionários!D9:D12)+2)</f>
        <v>0</v>
      </c>
      <c r="F8" s="98">
        <f>199.9*(SUM(Funcionários!F9:F12)+2)-199.9*(SUM(Funcionários!E9:E12)+2)</f>
        <v>0</v>
      </c>
      <c r="G8" s="98">
        <f>199.9*(SUM(Funcionários!G9:G12)+2)-199.9*(SUM(Funcionários!F9:F12)+2)</f>
        <v>0</v>
      </c>
      <c r="H8" s="98">
        <f>199.9*(SUM(Funcionários!H9:H12)+2)-199.9*(SUM(Funcionários!G9:G12)+2)</f>
        <v>0</v>
      </c>
      <c r="I8" s="98">
        <f>199.9*(SUM(Funcionários!I9:I12)+2)-199.9*(SUM(Funcionários!H9:H12)+2)</f>
        <v>0</v>
      </c>
      <c r="J8" s="98">
        <f>199.9*(SUM(Funcionários!J9:J12)+2)-199.9*(SUM(Funcionários!I9:I12)+2)</f>
        <v>0</v>
      </c>
      <c r="K8" s="98">
        <f>199.9*(SUM(Funcionários!K9:K12)+2)-199.9*(SUM(Funcionários!J9:J12)+2)</f>
        <v>0</v>
      </c>
      <c r="L8" s="98">
        <f>199.9*(SUM(Funcionários!L9:L12)+2)-199.9*(SUM(Funcionários!K9:K12)+2)</f>
        <v>0</v>
      </c>
      <c r="M8" s="98">
        <f>400*(Funcionários!C47-Funcionários!B47)</f>
        <v>2000</v>
      </c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>
        <f t="shared" si="0"/>
        <v>3000</v>
      </c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>
        <f t="shared" si="1"/>
        <v>2000</v>
      </c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>
        <f t="shared" si="2"/>
        <v>2000</v>
      </c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>
        <f t="shared" si="3"/>
        <v>3000</v>
      </c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21"/>
      <c r="CJ8" s="21"/>
      <c r="CK8" s="21"/>
      <c r="CL8" s="21"/>
      <c r="CM8" s="21"/>
      <c r="CN8" s="21"/>
    </row>
    <row r="9" spans="1:92">
      <c r="A9" s="177" t="s">
        <v>181</v>
      </c>
      <c r="B9" s="178">
        <v>5000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>
        <v>5000</v>
      </c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98">
        <f t="shared" si="0"/>
        <v>7500</v>
      </c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98">
        <f t="shared" si="1"/>
        <v>5000</v>
      </c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98">
        <f t="shared" si="2"/>
        <v>5000</v>
      </c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98">
        <f t="shared" si="3"/>
        <v>7500</v>
      </c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21"/>
      <c r="CJ9" s="21"/>
      <c r="CK9" s="21"/>
      <c r="CL9" s="21"/>
      <c r="CM9" s="21"/>
      <c r="CN9" s="21"/>
    </row>
    <row r="10" spans="1:92" ht="15.75" thickBot="1">
      <c r="A10" s="97" t="s">
        <v>25</v>
      </c>
      <c r="B10" s="99">
        <f>SUM(B5:B9)</f>
        <v>25400</v>
      </c>
      <c r="C10" s="99">
        <f t="shared" ref="C10:BI10" si="4">SUM(C5:C9)</f>
        <v>0</v>
      </c>
      <c r="D10" s="99">
        <f t="shared" si="4"/>
        <v>0</v>
      </c>
      <c r="E10" s="99">
        <f t="shared" si="4"/>
        <v>0</v>
      </c>
      <c r="F10" s="99">
        <f t="shared" si="4"/>
        <v>0</v>
      </c>
      <c r="G10" s="99">
        <f t="shared" si="4"/>
        <v>0</v>
      </c>
      <c r="H10" s="99">
        <f t="shared" si="4"/>
        <v>0</v>
      </c>
      <c r="I10" s="99">
        <f t="shared" si="4"/>
        <v>0</v>
      </c>
      <c r="J10" s="99">
        <f t="shared" si="4"/>
        <v>0</v>
      </c>
      <c r="K10" s="99">
        <f t="shared" si="4"/>
        <v>0</v>
      </c>
      <c r="L10" s="99">
        <f t="shared" si="4"/>
        <v>0</v>
      </c>
      <c r="M10" s="99">
        <f t="shared" si="4"/>
        <v>22000</v>
      </c>
      <c r="N10" s="99">
        <f t="shared" si="4"/>
        <v>0</v>
      </c>
      <c r="O10" s="99">
        <f t="shared" si="4"/>
        <v>0</v>
      </c>
      <c r="P10" s="99">
        <f t="shared" si="4"/>
        <v>0</v>
      </c>
      <c r="Q10" s="99">
        <f t="shared" si="4"/>
        <v>0</v>
      </c>
      <c r="R10" s="99">
        <f t="shared" si="4"/>
        <v>0</v>
      </c>
      <c r="S10" s="99">
        <f t="shared" si="4"/>
        <v>0</v>
      </c>
      <c r="T10" s="99">
        <f t="shared" si="4"/>
        <v>0</v>
      </c>
      <c r="U10" s="99">
        <f t="shared" si="4"/>
        <v>0</v>
      </c>
      <c r="V10" s="99">
        <f t="shared" si="4"/>
        <v>0</v>
      </c>
      <c r="W10" s="99">
        <f t="shared" si="4"/>
        <v>0</v>
      </c>
      <c r="X10" s="99">
        <f t="shared" si="4"/>
        <v>0</v>
      </c>
      <c r="Y10" s="99">
        <f t="shared" si="4"/>
        <v>33000</v>
      </c>
      <c r="Z10" s="99">
        <f t="shared" si="4"/>
        <v>0</v>
      </c>
      <c r="AA10" s="99">
        <f t="shared" si="4"/>
        <v>0</v>
      </c>
      <c r="AB10" s="99">
        <f t="shared" si="4"/>
        <v>0</v>
      </c>
      <c r="AC10" s="99">
        <f t="shared" si="4"/>
        <v>0</v>
      </c>
      <c r="AD10" s="99">
        <f t="shared" si="4"/>
        <v>0</v>
      </c>
      <c r="AE10" s="99">
        <f t="shared" si="4"/>
        <v>0</v>
      </c>
      <c r="AF10" s="99">
        <f t="shared" si="4"/>
        <v>0</v>
      </c>
      <c r="AG10" s="99">
        <f t="shared" si="4"/>
        <v>0</v>
      </c>
      <c r="AH10" s="99">
        <f t="shared" si="4"/>
        <v>0</v>
      </c>
      <c r="AI10" s="99">
        <f t="shared" si="4"/>
        <v>0</v>
      </c>
      <c r="AJ10" s="99">
        <f t="shared" si="4"/>
        <v>0</v>
      </c>
      <c r="AK10" s="99">
        <f t="shared" si="4"/>
        <v>22000</v>
      </c>
      <c r="AL10" s="99">
        <f t="shared" si="4"/>
        <v>0</v>
      </c>
      <c r="AM10" s="99">
        <f t="shared" si="4"/>
        <v>0</v>
      </c>
      <c r="AN10" s="99">
        <f t="shared" si="4"/>
        <v>0</v>
      </c>
      <c r="AO10" s="99">
        <f t="shared" si="4"/>
        <v>0</v>
      </c>
      <c r="AP10" s="99">
        <f t="shared" si="4"/>
        <v>0</v>
      </c>
      <c r="AQ10" s="99">
        <f t="shared" si="4"/>
        <v>0</v>
      </c>
      <c r="AR10" s="99">
        <f t="shared" si="4"/>
        <v>0</v>
      </c>
      <c r="AS10" s="99">
        <f t="shared" si="4"/>
        <v>0</v>
      </c>
      <c r="AT10" s="99">
        <f t="shared" si="4"/>
        <v>0</v>
      </c>
      <c r="AU10" s="99">
        <f t="shared" si="4"/>
        <v>0</v>
      </c>
      <c r="AV10" s="99">
        <f t="shared" si="4"/>
        <v>0</v>
      </c>
      <c r="AW10" s="99">
        <f t="shared" si="4"/>
        <v>22000</v>
      </c>
      <c r="AX10" s="99">
        <f t="shared" si="4"/>
        <v>0</v>
      </c>
      <c r="AY10" s="99">
        <f t="shared" si="4"/>
        <v>0</v>
      </c>
      <c r="AZ10" s="99">
        <f t="shared" si="4"/>
        <v>0</v>
      </c>
      <c r="BA10" s="99">
        <f t="shared" si="4"/>
        <v>0</v>
      </c>
      <c r="BB10" s="99">
        <f t="shared" si="4"/>
        <v>0</v>
      </c>
      <c r="BC10" s="99">
        <f t="shared" si="4"/>
        <v>0</v>
      </c>
      <c r="BD10" s="99">
        <f t="shared" si="4"/>
        <v>0</v>
      </c>
      <c r="BE10" s="99">
        <f t="shared" si="4"/>
        <v>0</v>
      </c>
      <c r="BF10" s="99">
        <f t="shared" si="4"/>
        <v>0</v>
      </c>
      <c r="BG10" s="99">
        <f t="shared" si="4"/>
        <v>0</v>
      </c>
      <c r="BH10" s="99">
        <f t="shared" si="4"/>
        <v>0</v>
      </c>
      <c r="BI10" s="99">
        <f t="shared" si="4"/>
        <v>33000</v>
      </c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21"/>
      <c r="CJ10" s="21"/>
      <c r="CK10" s="21"/>
      <c r="CL10" s="21"/>
      <c r="CM10" s="21"/>
      <c r="CN10" s="21"/>
    </row>
    <row r="11" spans="1:92" ht="15.75" thickTop="1">
      <c r="CH11" s="21"/>
    </row>
    <row r="12" spans="1:92">
      <c r="A12" s="194" t="s">
        <v>114</v>
      </c>
      <c r="B12" s="195" t="s">
        <v>93</v>
      </c>
      <c r="C12" s="195" t="s">
        <v>94</v>
      </c>
      <c r="D12" s="195" t="s">
        <v>95</v>
      </c>
      <c r="E12" s="195" t="s">
        <v>96</v>
      </c>
      <c r="F12" s="195" t="s">
        <v>97</v>
      </c>
    </row>
    <row r="13" spans="1:92">
      <c r="A13" s="33" t="s">
        <v>134</v>
      </c>
      <c r="B13" s="196">
        <f>B5+M5</f>
        <v>22000</v>
      </c>
      <c r="C13" s="196">
        <f>Y5</f>
        <v>15000</v>
      </c>
      <c r="D13" s="196">
        <f>AK5</f>
        <v>10000</v>
      </c>
      <c r="E13" s="196">
        <f>AW5</f>
        <v>10000</v>
      </c>
      <c r="F13" s="196">
        <f>BI5</f>
        <v>15000</v>
      </c>
    </row>
    <row r="14" spans="1:92">
      <c r="A14" s="33" t="s">
        <v>135</v>
      </c>
      <c r="B14" s="196">
        <f t="shared" ref="B14:B17" si="5">B6+M6</f>
        <v>5500</v>
      </c>
      <c r="C14" s="196">
        <f t="shared" ref="C14:C17" si="6">Y6</f>
        <v>3750</v>
      </c>
      <c r="D14" s="196">
        <f t="shared" ref="D14:D17" si="7">AK6</f>
        <v>2500</v>
      </c>
      <c r="E14" s="196">
        <f t="shared" ref="E14:E17" si="8">AW6</f>
        <v>2500</v>
      </c>
      <c r="F14" s="196">
        <f t="shared" ref="F14:F17" si="9">BI6</f>
        <v>3750</v>
      </c>
    </row>
    <row r="15" spans="1:92">
      <c r="A15" s="33" t="s">
        <v>140</v>
      </c>
      <c r="B15" s="196">
        <f t="shared" si="5"/>
        <v>5500</v>
      </c>
      <c r="C15" s="196">
        <f t="shared" si="6"/>
        <v>3750</v>
      </c>
      <c r="D15" s="196">
        <f t="shared" si="7"/>
        <v>2500</v>
      </c>
      <c r="E15" s="196">
        <f t="shared" si="8"/>
        <v>2500</v>
      </c>
      <c r="F15" s="196">
        <f t="shared" si="9"/>
        <v>3750</v>
      </c>
    </row>
    <row r="16" spans="1:92">
      <c r="A16" s="33" t="s">
        <v>141</v>
      </c>
      <c r="B16" s="196">
        <f t="shared" si="5"/>
        <v>4400</v>
      </c>
      <c r="C16" s="196">
        <f t="shared" si="6"/>
        <v>3000</v>
      </c>
      <c r="D16" s="196">
        <f t="shared" si="7"/>
        <v>2000</v>
      </c>
      <c r="E16" s="196">
        <f t="shared" si="8"/>
        <v>2000</v>
      </c>
      <c r="F16" s="196">
        <f t="shared" si="9"/>
        <v>3000</v>
      </c>
    </row>
    <row r="17" spans="1:6">
      <c r="A17" s="33" t="s">
        <v>181</v>
      </c>
      <c r="B17" s="196">
        <f t="shared" si="5"/>
        <v>10000</v>
      </c>
      <c r="C17" s="196">
        <f t="shared" si="6"/>
        <v>7500</v>
      </c>
      <c r="D17" s="196">
        <f t="shared" si="7"/>
        <v>5000</v>
      </c>
      <c r="E17" s="196">
        <f t="shared" si="8"/>
        <v>5000</v>
      </c>
      <c r="F17" s="196">
        <f t="shared" si="9"/>
        <v>7500</v>
      </c>
    </row>
    <row r="18" spans="1:6">
      <c r="A18" s="197" t="s">
        <v>25</v>
      </c>
      <c r="B18" s="198">
        <f>SUM(B13:B17)</f>
        <v>47400</v>
      </c>
      <c r="C18" s="198">
        <f t="shared" ref="C18:F18" si="10">SUM(C13:C17)</f>
        <v>33000</v>
      </c>
      <c r="D18" s="198">
        <f t="shared" si="10"/>
        <v>22000</v>
      </c>
      <c r="E18" s="198">
        <f t="shared" si="10"/>
        <v>22000</v>
      </c>
      <c r="F18" s="198">
        <f t="shared" si="10"/>
        <v>33000</v>
      </c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H31"/>
  <sheetViews>
    <sheetView topLeftCell="A22" zoomScaleNormal="100" zoomScalePageLayoutView="85" workbookViewId="0">
      <selection activeCell="G31" sqref="G31"/>
    </sheetView>
  </sheetViews>
  <sheetFormatPr defaultColWidth="8.85546875" defaultRowHeight="15"/>
  <cols>
    <col min="1" max="1" width="62.5703125" customWidth="1"/>
    <col min="2" max="5" width="15.140625" bestFit="1" customWidth="1"/>
    <col min="6" max="6" width="16.7109375" bestFit="1" customWidth="1"/>
    <col min="7" max="46" width="13.7109375" bestFit="1" customWidth="1"/>
    <col min="47" max="61" width="14" bestFit="1" customWidth="1"/>
    <col min="62" max="62" width="15.42578125" customWidth="1"/>
    <col min="63" max="63" width="11.42578125" customWidth="1"/>
    <col min="64" max="64" width="13.42578125" customWidth="1"/>
    <col min="65" max="72" width="9.5703125" bestFit="1" customWidth="1"/>
    <col min="73" max="73" width="13" customWidth="1"/>
    <col min="74" max="74" width="16.28515625" customWidth="1"/>
    <col min="75" max="75" width="10.5703125" bestFit="1" customWidth="1"/>
    <col min="76" max="84" width="9.5703125" bestFit="1" customWidth="1"/>
    <col min="85" max="85" width="12.85546875" customWidth="1"/>
  </cols>
  <sheetData>
    <row r="1" spans="1:86" ht="18">
      <c r="A1" s="50" t="s">
        <v>27</v>
      </c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</row>
    <row r="2" spans="1:86">
      <c r="A2" s="5" t="str">
        <f>CONCATENATE(Company, ": ",start, " -  ",end)</f>
        <v>Crush: Mês 1 -  Mês 60</v>
      </c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</row>
    <row r="3" spans="1:86" ht="15.75" thickBot="1"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</row>
    <row r="4" spans="1:86" ht="16.5" thickTop="1">
      <c r="A4" s="23" t="s">
        <v>69</v>
      </c>
      <c r="B4" s="24">
        <v>1</v>
      </c>
      <c r="C4" s="25">
        <v>2</v>
      </c>
      <c r="D4" s="24">
        <v>3</v>
      </c>
      <c r="E4" s="24">
        <v>4</v>
      </c>
      <c r="F4" s="25">
        <v>5</v>
      </c>
      <c r="G4" s="24">
        <v>6</v>
      </c>
      <c r="H4" s="24">
        <v>7</v>
      </c>
      <c r="I4" s="25">
        <v>8</v>
      </c>
      <c r="J4" s="24">
        <v>9</v>
      </c>
      <c r="K4" s="24">
        <v>10</v>
      </c>
      <c r="L4" s="25">
        <v>11</v>
      </c>
      <c r="M4" s="24">
        <v>12</v>
      </c>
      <c r="N4" s="24">
        <v>13</v>
      </c>
      <c r="O4" s="25">
        <v>14</v>
      </c>
      <c r="P4" s="24">
        <v>15</v>
      </c>
      <c r="Q4" s="24">
        <v>16</v>
      </c>
      <c r="R4" s="25">
        <v>17</v>
      </c>
      <c r="S4" s="24">
        <v>18</v>
      </c>
      <c r="T4" s="24">
        <v>19</v>
      </c>
      <c r="U4" s="25">
        <v>20</v>
      </c>
      <c r="V4" s="24">
        <v>21</v>
      </c>
      <c r="W4" s="24">
        <v>22</v>
      </c>
      <c r="X4" s="25">
        <v>23</v>
      </c>
      <c r="Y4" s="24">
        <v>24</v>
      </c>
      <c r="Z4" s="24">
        <v>25</v>
      </c>
      <c r="AA4" s="25">
        <v>26</v>
      </c>
      <c r="AB4" s="24">
        <v>27</v>
      </c>
      <c r="AC4" s="24">
        <v>28</v>
      </c>
      <c r="AD4" s="25">
        <v>29</v>
      </c>
      <c r="AE4" s="24">
        <v>30</v>
      </c>
      <c r="AF4" s="24">
        <v>31</v>
      </c>
      <c r="AG4" s="25">
        <v>32</v>
      </c>
      <c r="AH4" s="24">
        <v>33</v>
      </c>
      <c r="AI4" s="24">
        <v>34</v>
      </c>
      <c r="AJ4" s="25">
        <v>35</v>
      </c>
      <c r="AK4" s="24">
        <v>36</v>
      </c>
      <c r="AL4" s="24">
        <v>37</v>
      </c>
      <c r="AM4" s="25">
        <v>38</v>
      </c>
      <c r="AN4" s="24">
        <v>39</v>
      </c>
      <c r="AO4" s="24">
        <v>40</v>
      </c>
      <c r="AP4" s="25">
        <v>41</v>
      </c>
      <c r="AQ4" s="24">
        <v>42</v>
      </c>
      <c r="AR4" s="24">
        <v>43</v>
      </c>
      <c r="AS4" s="25">
        <v>44</v>
      </c>
      <c r="AT4" s="24">
        <v>45</v>
      </c>
      <c r="AU4" s="24">
        <v>46</v>
      </c>
      <c r="AV4" s="25">
        <v>47</v>
      </c>
      <c r="AW4" s="24">
        <v>48</v>
      </c>
      <c r="AX4" s="24">
        <v>49</v>
      </c>
      <c r="AY4" s="25">
        <v>50</v>
      </c>
      <c r="AZ4" s="24">
        <v>51</v>
      </c>
      <c r="BA4" s="24">
        <v>52</v>
      </c>
      <c r="BB4" s="25">
        <v>53</v>
      </c>
      <c r="BC4" s="24">
        <v>54</v>
      </c>
      <c r="BD4" s="24">
        <v>55</v>
      </c>
      <c r="BE4" s="25">
        <v>56</v>
      </c>
      <c r="BF4" s="24">
        <v>57</v>
      </c>
      <c r="BG4" s="24">
        <v>58</v>
      </c>
      <c r="BH4" s="25">
        <v>59</v>
      </c>
      <c r="BI4" s="35">
        <v>60</v>
      </c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21"/>
    </row>
    <row r="5" spans="1:86">
      <c r="A5" s="94" t="s">
        <v>112</v>
      </c>
      <c r="B5" s="98">
        <v>200</v>
      </c>
      <c r="C5" s="98">
        <v>200</v>
      </c>
      <c r="D5" s="98">
        <v>200</v>
      </c>
      <c r="E5" s="98">
        <v>200</v>
      </c>
      <c r="F5" s="98">
        <v>200</v>
      </c>
      <c r="G5" s="98">
        <v>200</v>
      </c>
      <c r="H5" s="98">
        <v>200</v>
      </c>
      <c r="I5" s="98">
        <v>200</v>
      </c>
      <c r="J5" s="98">
        <v>200</v>
      </c>
      <c r="K5" s="98">
        <v>200</v>
      </c>
      <c r="L5" s="98">
        <v>200</v>
      </c>
      <c r="M5" s="98">
        <v>200</v>
      </c>
      <c r="N5" s="98">
        <v>300</v>
      </c>
      <c r="O5" s="98">
        <v>300</v>
      </c>
      <c r="P5" s="98">
        <v>300</v>
      </c>
      <c r="Q5" s="98">
        <v>300</v>
      </c>
      <c r="R5" s="98">
        <v>300</v>
      </c>
      <c r="S5" s="98">
        <v>300</v>
      </c>
      <c r="T5" s="98">
        <v>300</v>
      </c>
      <c r="U5" s="98">
        <v>300</v>
      </c>
      <c r="V5" s="98">
        <v>300</v>
      </c>
      <c r="W5" s="98">
        <v>300</v>
      </c>
      <c r="X5" s="98">
        <v>300</v>
      </c>
      <c r="Y5" s="98">
        <v>300</v>
      </c>
      <c r="Z5" s="98">
        <v>500</v>
      </c>
      <c r="AA5" s="98">
        <v>500</v>
      </c>
      <c r="AB5" s="98">
        <v>500</v>
      </c>
      <c r="AC5" s="98">
        <v>500</v>
      </c>
      <c r="AD5" s="98">
        <v>500</v>
      </c>
      <c r="AE5" s="98">
        <v>500</v>
      </c>
      <c r="AF5" s="98">
        <v>500</v>
      </c>
      <c r="AG5" s="98">
        <v>500</v>
      </c>
      <c r="AH5" s="98">
        <v>500</v>
      </c>
      <c r="AI5" s="98">
        <v>500</v>
      </c>
      <c r="AJ5" s="98">
        <v>500</v>
      </c>
      <c r="AK5" s="98">
        <v>500</v>
      </c>
      <c r="AL5" s="98">
        <v>800</v>
      </c>
      <c r="AM5" s="98">
        <v>800</v>
      </c>
      <c r="AN5" s="98">
        <v>800</v>
      </c>
      <c r="AO5" s="98">
        <v>800</v>
      </c>
      <c r="AP5" s="98">
        <v>800</v>
      </c>
      <c r="AQ5" s="98">
        <v>800</v>
      </c>
      <c r="AR5" s="98">
        <v>800</v>
      </c>
      <c r="AS5" s="98">
        <v>800</v>
      </c>
      <c r="AT5" s="98">
        <v>800</v>
      </c>
      <c r="AU5" s="98">
        <v>800</v>
      </c>
      <c r="AV5" s="98">
        <v>800</v>
      </c>
      <c r="AW5" s="98">
        <v>800</v>
      </c>
      <c r="AX5" s="98">
        <v>1400</v>
      </c>
      <c r="AY5" s="98">
        <v>1400</v>
      </c>
      <c r="AZ5" s="98">
        <v>1400</v>
      </c>
      <c r="BA5" s="98">
        <v>1400</v>
      </c>
      <c r="BB5" s="98">
        <v>1400</v>
      </c>
      <c r="BC5" s="98">
        <v>1400</v>
      </c>
      <c r="BD5" s="98">
        <v>1400</v>
      </c>
      <c r="BE5" s="98">
        <v>1400</v>
      </c>
      <c r="BF5" s="98">
        <v>1400</v>
      </c>
      <c r="BG5" s="98">
        <v>1400</v>
      </c>
      <c r="BH5" s="98">
        <v>1400</v>
      </c>
      <c r="BI5" s="98">
        <v>1400</v>
      </c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21"/>
    </row>
    <row r="6" spans="1:86">
      <c r="A6" s="94" t="s">
        <v>182</v>
      </c>
      <c r="B6" s="98">
        <v>100</v>
      </c>
      <c r="C6" s="98">
        <v>100</v>
      </c>
      <c r="D6" s="98">
        <v>100</v>
      </c>
      <c r="E6" s="98">
        <v>100</v>
      </c>
      <c r="F6" s="98">
        <v>100</v>
      </c>
      <c r="G6" s="98">
        <v>100</v>
      </c>
      <c r="H6" s="98">
        <v>100</v>
      </c>
      <c r="I6" s="98">
        <v>100</v>
      </c>
      <c r="J6" s="98">
        <v>100</v>
      </c>
      <c r="K6" s="98">
        <v>100</v>
      </c>
      <c r="L6" s="98">
        <v>100</v>
      </c>
      <c r="M6" s="98">
        <v>100</v>
      </c>
      <c r="N6" s="98">
        <v>100</v>
      </c>
      <c r="O6" s="98">
        <v>100</v>
      </c>
      <c r="P6" s="98">
        <v>100</v>
      </c>
      <c r="Q6" s="98">
        <v>100</v>
      </c>
      <c r="R6" s="98">
        <v>100</v>
      </c>
      <c r="S6" s="98">
        <v>100</v>
      </c>
      <c r="T6" s="98">
        <v>100</v>
      </c>
      <c r="U6" s="98">
        <v>100</v>
      </c>
      <c r="V6" s="98">
        <v>100</v>
      </c>
      <c r="W6" s="98">
        <v>100</v>
      </c>
      <c r="X6" s="98">
        <v>100</v>
      </c>
      <c r="Y6" s="98">
        <v>100</v>
      </c>
      <c r="Z6" s="98">
        <v>100</v>
      </c>
      <c r="AA6" s="98">
        <v>100</v>
      </c>
      <c r="AB6" s="98">
        <v>100</v>
      </c>
      <c r="AC6" s="98">
        <v>100</v>
      </c>
      <c r="AD6" s="98">
        <v>100</v>
      </c>
      <c r="AE6" s="98">
        <v>100</v>
      </c>
      <c r="AF6" s="98">
        <v>100</v>
      </c>
      <c r="AG6" s="98">
        <v>100</v>
      </c>
      <c r="AH6" s="98">
        <v>100</v>
      </c>
      <c r="AI6" s="98">
        <v>100</v>
      </c>
      <c r="AJ6" s="98">
        <v>100</v>
      </c>
      <c r="AK6" s="98">
        <v>100</v>
      </c>
      <c r="AL6" s="98">
        <v>100</v>
      </c>
      <c r="AM6" s="98">
        <v>100</v>
      </c>
      <c r="AN6" s="98">
        <v>100</v>
      </c>
      <c r="AO6" s="98">
        <v>100</v>
      </c>
      <c r="AP6" s="98">
        <v>100</v>
      </c>
      <c r="AQ6" s="98">
        <v>100</v>
      </c>
      <c r="AR6" s="98">
        <v>100</v>
      </c>
      <c r="AS6" s="98">
        <v>100</v>
      </c>
      <c r="AT6" s="98">
        <v>100</v>
      </c>
      <c r="AU6" s="98">
        <v>100</v>
      </c>
      <c r="AV6" s="98">
        <v>100</v>
      </c>
      <c r="AW6" s="98">
        <v>100</v>
      </c>
      <c r="AX6" s="98">
        <v>100</v>
      </c>
      <c r="AY6" s="98">
        <v>100</v>
      </c>
      <c r="AZ6" s="98">
        <v>100</v>
      </c>
      <c r="BA6" s="98">
        <v>100</v>
      </c>
      <c r="BB6" s="98">
        <v>100</v>
      </c>
      <c r="BC6" s="98">
        <v>100</v>
      </c>
      <c r="BD6" s="98">
        <v>100</v>
      </c>
      <c r="BE6" s="98">
        <v>100</v>
      </c>
      <c r="BF6" s="98">
        <v>100</v>
      </c>
      <c r="BG6" s="98">
        <v>100</v>
      </c>
      <c r="BH6" s="98">
        <v>100</v>
      </c>
      <c r="BI6" s="98">
        <v>100</v>
      </c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21"/>
    </row>
    <row r="7" spans="1:86">
      <c r="A7" s="94" t="s">
        <v>133</v>
      </c>
      <c r="B7" s="98">
        <f>54.99*SUM(Funcionários!B9,Funcionários!B12)</f>
        <v>164.97</v>
      </c>
      <c r="C7" s="98">
        <f>54.99*SUM(Funcionários!C9,Funcionários!C12)</f>
        <v>164.97</v>
      </c>
      <c r="D7" s="98">
        <f>54.99*SUM(Funcionários!D9,Funcionários!D12)</f>
        <v>164.97</v>
      </c>
      <c r="E7" s="98">
        <f>54.99*SUM(Funcionários!E9,Funcionários!E12)</f>
        <v>164.97</v>
      </c>
      <c r="F7" s="98">
        <f>54.99*SUM(Funcionários!F9,Funcionários!F12)</f>
        <v>164.97</v>
      </c>
      <c r="G7" s="98">
        <f>54.99*SUM(Funcionários!G9,Funcionários!G12)</f>
        <v>164.97</v>
      </c>
      <c r="H7" s="98">
        <f>54.99*SUM(Funcionários!H9,Funcionários!H12)</f>
        <v>164.97</v>
      </c>
      <c r="I7" s="98">
        <f>54.99*SUM(Funcionários!I9,Funcionários!I12)</f>
        <v>164.97</v>
      </c>
      <c r="J7" s="98">
        <f>54.99*SUM(Funcionários!J9,Funcionários!J12)</f>
        <v>164.97</v>
      </c>
      <c r="K7" s="98">
        <f>54.99*SUM(Funcionários!K9,Funcionários!K12)</f>
        <v>164.97</v>
      </c>
      <c r="L7" s="98">
        <f>54.99*SUM(Funcionários!L9,Funcionários!L12)</f>
        <v>164.97</v>
      </c>
      <c r="M7" s="98">
        <f>54.99*SUM(Funcionários!M9,Funcionários!M12)</f>
        <v>164.97</v>
      </c>
      <c r="N7" s="98">
        <f>54.99*SUM(Funcionários!N9,Funcionários!N12)</f>
        <v>274.95</v>
      </c>
      <c r="O7" s="98">
        <f>54.99*SUM(Funcionários!O9,Funcionários!O12)</f>
        <v>274.95</v>
      </c>
      <c r="P7" s="98">
        <f>54.99*SUM(Funcionários!P9,Funcionários!P12)</f>
        <v>274.95</v>
      </c>
      <c r="Q7" s="98">
        <f>54.99*SUM(Funcionários!Q9,Funcionários!Q12)</f>
        <v>274.95</v>
      </c>
      <c r="R7" s="98">
        <f>54.99*SUM(Funcionários!R9,Funcionários!R12)</f>
        <v>274.95</v>
      </c>
      <c r="S7" s="98">
        <f>54.99*SUM(Funcionários!S9,Funcionários!S12)</f>
        <v>274.95</v>
      </c>
      <c r="T7" s="98">
        <f>54.99*SUM(Funcionários!T9,Funcionários!T12)</f>
        <v>274.95</v>
      </c>
      <c r="U7" s="98">
        <f>54.99*SUM(Funcionários!U9,Funcionários!U12)</f>
        <v>274.95</v>
      </c>
      <c r="V7" s="98">
        <f>54.99*SUM(Funcionários!V9,Funcionários!V12)</f>
        <v>274.95</v>
      </c>
      <c r="W7" s="98">
        <f>54.99*SUM(Funcionários!W9,Funcionários!W12)</f>
        <v>274.95</v>
      </c>
      <c r="X7" s="98">
        <f>54.99*SUM(Funcionários!X9,Funcionários!X12)</f>
        <v>274.95</v>
      </c>
      <c r="Y7" s="98">
        <f>54.99*SUM(Funcionários!Y9,Funcionários!Y12)</f>
        <v>274.95</v>
      </c>
      <c r="Z7" s="98">
        <f>54.99*SUM(Funcionários!Z9,Funcionários!Z12)</f>
        <v>384.93</v>
      </c>
      <c r="AA7" s="98">
        <f>54.99*SUM(Funcionários!AA9,Funcionários!AA12)</f>
        <v>384.93</v>
      </c>
      <c r="AB7" s="98">
        <f>54.99*SUM(Funcionários!AB9,Funcionários!AB12)</f>
        <v>384.93</v>
      </c>
      <c r="AC7" s="98">
        <f>54.99*SUM(Funcionários!AC9,Funcionários!AC12)</f>
        <v>384.93</v>
      </c>
      <c r="AD7" s="98">
        <f>54.99*SUM(Funcionários!AD9,Funcionários!AD12)</f>
        <v>384.93</v>
      </c>
      <c r="AE7" s="98">
        <f>54.99*SUM(Funcionários!AE9,Funcionários!AE12)</f>
        <v>384.93</v>
      </c>
      <c r="AF7" s="98">
        <f>54.99*SUM(Funcionários!AF9,Funcionários!AF12)</f>
        <v>384.93</v>
      </c>
      <c r="AG7" s="98">
        <f>54.99*SUM(Funcionários!AG9,Funcionários!AG12)</f>
        <v>384.93</v>
      </c>
      <c r="AH7" s="98">
        <f>54.99*SUM(Funcionários!AH9,Funcionários!AH12)</f>
        <v>384.93</v>
      </c>
      <c r="AI7" s="98">
        <f>54.99*SUM(Funcionários!AI9,Funcionários!AI12)</f>
        <v>384.93</v>
      </c>
      <c r="AJ7" s="98">
        <f>54.99*SUM(Funcionários!AJ9,Funcionários!AJ12)</f>
        <v>384.93</v>
      </c>
      <c r="AK7" s="98">
        <f>54.99*SUM(Funcionários!AK9,Funcionários!AK12)</f>
        <v>384.93</v>
      </c>
      <c r="AL7" s="98">
        <f>54.99*SUM(Funcionários!AL9,Funcionários!AL12)</f>
        <v>494.91</v>
      </c>
      <c r="AM7" s="98">
        <f>54.99*SUM(Funcionários!AM9,Funcionários!AM12)</f>
        <v>494.91</v>
      </c>
      <c r="AN7" s="98">
        <f>54.99*SUM(Funcionários!AN9,Funcionários!AN12)</f>
        <v>494.91</v>
      </c>
      <c r="AO7" s="98">
        <f>54.99*SUM(Funcionários!AO9,Funcionários!AO12)</f>
        <v>494.91</v>
      </c>
      <c r="AP7" s="98">
        <f>54.99*SUM(Funcionários!AP9,Funcionários!AP12)</f>
        <v>494.91</v>
      </c>
      <c r="AQ7" s="98">
        <f>54.99*SUM(Funcionários!AQ9,Funcionários!AQ12)</f>
        <v>494.91</v>
      </c>
      <c r="AR7" s="98">
        <f>54.99*SUM(Funcionários!AR9,Funcionários!AR12)</f>
        <v>494.91</v>
      </c>
      <c r="AS7" s="98">
        <f>54.99*SUM(Funcionários!AS9,Funcionários!AS12)</f>
        <v>494.91</v>
      </c>
      <c r="AT7" s="98">
        <f>54.99*SUM(Funcionários!AT9,Funcionários!AT12)</f>
        <v>494.91</v>
      </c>
      <c r="AU7" s="98">
        <f>54.99*SUM(Funcionários!AU9,Funcionários!AU12)</f>
        <v>494.91</v>
      </c>
      <c r="AV7" s="98">
        <f>54.99*SUM(Funcionários!AV9,Funcionários!AV12)</f>
        <v>494.91</v>
      </c>
      <c r="AW7" s="98">
        <f>54.99*SUM(Funcionários!AW9,Funcionários!AW12)</f>
        <v>494.91</v>
      </c>
      <c r="AX7" s="98">
        <f>54.99*SUM(Funcionários!AX9,Funcionários!AX12)</f>
        <v>604.89</v>
      </c>
      <c r="AY7" s="98">
        <f>54.99*SUM(Funcionários!AY9,Funcionários!AY12)</f>
        <v>604.89</v>
      </c>
      <c r="AZ7" s="98">
        <f>54.99*SUM(Funcionários!AZ9,Funcionários!AZ12)</f>
        <v>604.89</v>
      </c>
      <c r="BA7" s="98">
        <f>54.99*SUM(Funcionários!BA9,Funcionários!BA12)</f>
        <v>604.89</v>
      </c>
      <c r="BB7" s="98">
        <f>54.99*SUM(Funcionários!BB9,Funcionários!BB12)</f>
        <v>604.89</v>
      </c>
      <c r="BC7" s="98">
        <f>54.99*SUM(Funcionários!BC9,Funcionários!BC12)</f>
        <v>604.89</v>
      </c>
      <c r="BD7" s="98">
        <f>54.99*SUM(Funcionários!BD9,Funcionários!BD12)</f>
        <v>604.89</v>
      </c>
      <c r="BE7" s="98">
        <f>54.99*SUM(Funcionários!BE9,Funcionários!BE12)</f>
        <v>604.89</v>
      </c>
      <c r="BF7" s="98">
        <f>54.99*SUM(Funcionários!BF9,Funcionários!BF12)</f>
        <v>604.89</v>
      </c>
      <c r="BG7" s="98">
        <f>54.99*SUM(Funcionários!BG9,Funcionários!BG12)</f>
        <v>604.89</v>
      </c>
      <c r="BH7" s="98">
        <f>54.99*SUM(Funcionários!BH9,Funcionários!BH12)</f>
        <v>604.89</v>
      </c>
      <c r="BI7" s="98">
        <f>54.99*SUM(Funcionários!BI9,Funcionários!BI12)</f>
        <v>604.89</v>
      </c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21"/>
    </row>
    <row r="8" spans="1:86">
      <c r="A8" s="33" t="s">
        <v>113</v>
      </c>
      <c r="B8" s="98">
        <v>1000</v>
      </c>
      <c r="C8" s="98">
        <v>1000</v>
      </c>
      <c r="D8" s="98">
        <v>1000</v>
      </c>
      <c r="E8" s="98">
        <v>1000</v>
      </c>
      <c r="F8" s="98">
        <v>1000</v>
      </c>
      <c r="G8" s="98">
        <v>1000</v>
      </c>
      <c r="H8" s="98">
        <v>1000</v>
      </c>
      <c r="I8" s="98">
        <v>1000</v>
      </c>
      <c r="J8" s="98">
        <v>1000</v>
      </c>
      <c r="K8" s="98">
        <v>1000</v>
      </c>
      <c r="L8" s="98">
        <v>1000</v>
      </c>
      <c r="M8" s="98">
        <v>1000</v>
      </c>
      <c r="N8" s="98">
        <v>1000</v>
      </c>
      <c r="O8" s="98">
        <v>1000</v>
      </c>
      <c r="P8" s="98">
        <v>1000</v>
      </c>
      <c r="Q8" s="98">
        <v>1000</v>
      </c>
      <c r="R8" s="98">
        <v>1000</v>
      </c>
      <c r="S8" s="98">
        <v>1000</v>
      </c>
      <c r="T8" s="98">
        <v>1000</v>
      </c>
      <c r="U8" s="98">
        <v>1000</v>
      </c>
      <c r="V8" s="98">
        <v>1000</v>
      </c>
      <c r="W8" s="98">
        <v>1000</v>
      </c>
      <c r="X8" s="98">
        <v>1000</v>
      </c>
      <c r="Y8" s="98">
        <v>1000</v>
      </c>
      <c r="Z8" s="98">
        <v>1000</v>
      </c>
      <c r="AA8" s="98">
        <v>1000</v>
      </c>
      <c r="AB8" s="98">
        <v>1000</v>
      </c>
      <c r="AC8" s="98">
        <v>1000</v>
      </c>
      <c r="AD8" s="98">
        <v>1000</v>
      </c>
      <c r="AE8" s="98">
        <v>1000</v>
      </c>
      <c r="AF8" s="98">
        <v>1000</v>
      </c>
      <c r="AG8" s="98">
        <v>1000</v>
      </c>
      <c r="AH8" s="98">
        <v>1000</v>
      </c>
      <c r="AI8" s="98">
        <v>1000</v>
      </c>
      <c r="AJ8" s="98">
        <v>1000</v>
      </c>
      <c r="AK8" s="98">
        <v>1000</v>
      </c>
      <c r="AL8" s="98">
        <v>1000</v>
      </c>
      <c r="AM8" s="98">
        <v>1000</v>
      </c>
      <c r="AN8" s="98">
        <v>1000</v>
      </c>
      <c r="AO8" s="98">
        <v>1000</v>
      </c>
      <c r="AP8" s="98">
        <v>1000</v>
      </c>
      <c r="AQ8" s="98">
        <v>1000</v>
      </c>
      <c r="AR8" s="98">
        <v>1000</v>
      </c>
      <c r="AS8" s="98">
        <v>1000</v>
      </c>
      <c r="AT8" s="98">
        <v>1000</v>
      </c>
      <c r="AU8" s="98">
        <v>1000</v>
      </c>
      <c r="AV8" s="98">
        <v>1000</v>
      </c>
      <c r="AW8" s="98">
        <v>1000</v>
      </c>
      <c r="AX8" s="98">
        <v>1000</v>
      </c>
      <c r="AY8" s="98">
        <v>1000</v>
      </c>
      <c r="AZ8" s="98">
        <v>1000</v>
      </c>
      <c r="BA8" s="98">
        <v>1000</v>
      </c>
      <c r="BB8" s="98">
        <v>1000</v>
      </c>
      <c r="BC8" s="98">
        <v>1000</v>
      </c>
      <c r="BD8" s="98">
        <v>1000</v>
      </c>
      <c r="BE8" s="98">
        <v>1000</v>
      </c>
      <c r="BF8" s="98">
        <v>1000</v>
      </c>
      <c r="BG8" s="98">
        <v>1000</v>
      </c>
      <c r="BH8" s="98">
        <v>1000</v>
      </c>
      <c r="BI8" s="98">
        <v>1000</v>
      </c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21"/>
    </row>
    <row r="9" spans="1:86" s="183" customFormat="1">
      <c r="A9" s="179" t="s">
        <v>130</v>
      </c>
      <c r="B9" s="180">
        <v>1950</v>
      </c>
      <c r="C9" s="180">
        <v>3120</v>
      </c>
      <c r="D9" s="180">
        <v>4290</v>
      </c>
      <c r="E9" s="180">
        <v>4290</v>
      </c>
      <c r="F9" s="180">
        <f>E9</f>
        <v>4290</v>
      </c>
      <c r="G9" s="180">
        <f t="shared" ref="G9:M9" si="0">F9</f>
        <v>4290</v>
      </c>
      <c r="H9" s="180">
        <f t="shared" si="0"/>
        <v>4290</v>
      </c>
      <c r="I9" s="180">
        <f t="shared" si="0"/>
        <v>4290</v>
      </c>
      <c r="J9" s="180">
        <f t="shared" si="0"/>
        <v>4290</v>
      </c>
      <c r="K9" s="180">
        <f t="shared" si="0"/>
        <v>4290</v>
      </c>
      <c r="L9" s="180">
        <f t="shared" si="0"/>
        <v>4290</v>
      </c>
      <c r="M9" s="180">
        <f t="shared" si="0"/>
        <v>4290</v>
      </c>
      <c r="N9" s="180">
        <v>8580</v>
      </c>
      <c r="O9" s="180">
        <v>8580</v>
      </c>
      <c r="P9" s="180">
        <v>8580</v>
      </c>
      <c r="Q9" s="180">
        <v>8580</v>
      </c>
      <c r="R9" s="180">
        <v>8580</v>
      </c>
      <c r="S9" s="180">
        <v>8580</v>
      </c>
      <c r="T9" s="180">
        <v>8580</v>
      </c>
      <c r="U9" s="180">
        <v>8580</v>
      </c>
      <c r="V9" s="180">
        <v>8580</v>
      </c>
      <c r="W9" s="180">
        <v>8580</v>
      </c>
      <c r="X9" s="180">
        <v>8580</v>
      </c>
      <c r="Y9" s="180">
        <v>8580</v>
      </c>
      <c r="Z9" s="180">
        <v>8580</v>
      </c>
      <c r="AA9" s="180">
        <v>8580</v>
      </c>
      <c r="AB9" s="180">
        <v>8580</v>
      </c>
      <c r="AC9" s="180">
        <v>8580</v>
      </c>
      <c r="AD9" s="180">
        <v>8580</v>
      </c>
      <c r="AE9" s="180">
        <v>8580</v>
      </c>
      <c r="AF9" s="180">
        <v>8580</v>
      </c>
      <c r="AG9" s="180">
        <v>8580</v>
      </c>
      <c r="AH9" s="180">
        <v>8580</v>
      </c>
      <c r="AI9" s="180">
        <v>8580</v>
      </c>
      <c r="AJ9" s="180">
        <v>8580</v>
      </c>
      <c r="AK9" s="180">
        <v>8580</v>
      </c>
      <c r="AL9" s="180">
        <v>12870</v>
      </c>
      <c r="AM9" s="180">
        <v>12870</v>
      </c>
      <c r="AN9" s="180">
        <v>12870</v>
      </c>
      <c r="AO9" s="180">
        <v>12870</v>
      </c>
      <c r="AP9" s="180">
        <v>12870</v>
      </c>
      <c r="AQ9" s="180">
        <v>12870</v>
      </c>
      <c r="AR9" s="180">
        <v>12870</v>
      </c>
      <c r="AS9" s="180">
        <v>12870</v>
      </c>
      <c r="AT9" s="180">
        <v>12870</v>
      </c>
      <c r="AU9" s="180">
        <v>12870</v>
      </c>
      <c r="AV9" s="180">
        <v>12870</v>
      </c>
      <c r="AW9" s="180">
        <v>12870</v>
      </c>
      <c r="AX9" s="180">
        <v>17160</v>
      </c>
      <c r="AY9" s="180">
        <v>17160</v>
      </c>
      <c r="AZ9" s="180">
        <v>17160</v>
      </c>
      <c r="BA9" s="180">
        <v>17160</v>
      </c>
      <c r="BB9" s="180">
        <v>17160</v>
      </c>
      <c r="BC9" s="180">
        <v>17160</v>
      </c>
      <c r="BD9" s="180">
        <v>17160</v>
      </c>
      <c r="BE9" s="180">
        <v>17160</v>
      </c>
      <c r="BF9" s="180">
        <v>17160</v>
      </c>
      <c r="BG9" s="180">
        <v>17160</v>
      </c>
      <c r="BH9" s="180">
        <v>17160</v>
      </c>
      <c r="BI9" s="180">
        <v>17160</v>
      </c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2"/>
    </row>
    <row r="10" spans="1:86" s="183" customFormat="1">
      <c r="A10" s="179" t="s">
        <v>191</v>
      </c>
      <c r="B10" s="180">
        <v>300</v>
      </c>
      <c r="C10" s="180">
        <v>480</v>
      </c>
      <c r="D10" s="180">
        <v>660</v>
      </c>
      <c r="E10" s="180">
        <v>660</v>
      </c>
      <c r="F10" s="180">
        <v>720</v>
      </c>
      <c r="G10" s="180">
        <v>720</v>
      </c>
      <c r="H10" s="180">
        <v>720</v>
      </c>
      <c r="I10" s="180">
        <v>720</v>
      </c>
      <c r="J10" s="180">
        <v>900</v>
      </c>
      <c r="K10" s="180">
        <v>900</v>
      </c>
      <c r="L10" s="180">
        <v>900</v>
      </c>
      <c r="M10" s="180">
        <v>900</v>
      </c>
      <c r="N10" s="180">
        <v>1800</v>
      </c>
      <c r="O10" s="180">
        <v>1800</v>
      </c>
      <c r="P10" s="180">
        <v>1800</v>
      </c>
      <c r="Q10" s="180">
        <v>1800</v>
      </c>
      <c r="R10" s="180">
        <v>1800</v>
      </c>
      <c r="S10" s="180">
        <v>1800</v>
      </c>
      <c r="T10" s="180">
        <v>1800</v>
      </c>
      <c r="U10" s="180">
        <v>1800</v>
      </c>
      <c r="V10" s="180">
        <v>1800</v>
      </c>
      <c r="W10" s="180">
        <v>1800</v>
      </c>
      <c r="X10" s="180">
        <v>1800</v>
      </c>
      <c r="Y10" s="180">
        <v>1800</v>
      </c>
      <c r="Z10" s="180">
        <v>1800</v>
      </c>
      <c r="AA10" s="180">
        <v>1800</v>
      </c>
      <c r="AB10" s="180">
        <v>1800</v>
      </c>
      <c r="AC10" s="180">
        <v>1800</v>
      </c>
      <c r="AD10" s="180">
        <v>1800</v>
      </c>
      <c r="AE10" s="180">
        <v>1800</v>
      </c>
      <c r="AF10" s="180">
        <v>1800</v>
      </c>
      <c r="AG10" s="180">
        <v>1800</v>
      </c>
      <c r="AH10" s="180">
        <v>1800</v>
      </c>
      <c r="AI10" s="180">
        <v>1800</v>
      </c>
      <c r="AJ10" s="180">
        <v>1800</v>
      </c>
      <c r="AK10" s="180">
        <v>1800</v>
      </c>
      <c r="AL10" s="180">
        <v>2400</v>
      </c>
      <c r="AM10" s="180">
        <v>2400</v>
      </c>
      <c r="AN10" s="180">
        <v>2400</v>
      </c>
      <c r="AO10" s="180">
        <v>2400</v>
      </c>
      <c r="AP10" s="180">
        <v>2400</v>
      </c>
      <c r="AQ10" s="180">
        <v>2400</v>
      </c>
      <c r="AR10" s="180">
        <v>2400</v>
      </c>
      <c r="AS10" s="180">
        <v>2400</v>
      </c>
      <c r="AT10" s="180">
        <v>2400</v>
      </c>
      <c r="AU10" s="180">
        <v>2400</v>
      </c>
      <c r="AV10" s="180">
        <v>2400</v>
      </c>
      <c r="AW10" s="180">
        <v>2400</v>
      </c>
      <c r="AX10" s="180">
        <v>2700</v>
      </c>
      <c r="AY10" s="180">
        <v>2700</v>
      </c>
      <c r="AZ10" s="180">
        <v>2700</v>
      </c>
      <c r="BA10" s="180">
        <v>2700</v>
      </c>
      <c r="BB10" s="180">
        <v>2700</v>
      </c>
      <c r="BC10" s="180">
        <v>2700</v>
      </c>
      <c r="BD10" s="180">
        <v>2700</v>
      </c>
      <c r="BE10" s="180">
        <v>2700</v>
      </c>
      <c r="BF10" s="180">
        <v>2700</v>
      </c>
      <c r="BG10" s="180">
        <v>2700</v>
      </c>
      <c r="BH10" s="180">
        <v>2700</v>
      </c>
      <c r="BI10" s="180">
        <v>2700</v>
      </c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2"/>
    </row>
    <row r="11" spans="1:86">
      <c r="A11" s="94" t="s">
        <v>126</v>
      </c>
      <c r="B11" s="98"/>
      <c r="C11" s="98"/>
      <c r="D11" s="98"/>
      <c r="E11" s="98"/>
      <c r="F11" s="98"/>
      <c r="G11" s="98"/>
      <c r="H11" s="98">
        <v>3000</v>
      </c>
      <c r="I11" s="98">
        <v>3000</v>
      </c>
      <c r="J11" s="98">
        <v>3000</v>
      </c>
      <c r="K11" s="98">
        <v>3000</v>
      </c>
      <c r="L11" s="98">
        <v>3000</v>
      </c>
      <c r="M11" s="98">
        <v>3000</v>
      </c>
      <c r="N11" s="98">
        <v>6000</v>
      </c>
      <c r="O11" s="98">
        <v>6000</v>
      </c>
      <c r="P11" s="98">
        <v>6000</v>
      </c>
      <c r="Q11" s="98">
        <v>6000</v>
      </c>
      <c r="R11" s="98">
        <v>6000</v>
      </c>
      <c r="S11" s="98">
        <v>6000</v>
      </c>
      <c r="T11" s="98">
        <v>6000</v>
      </c>
      <c r="U11" s="98">
        <v>6000</v>
      </c>
      <c r="V11" s="98">
        <v>6000</v>
      </c>
      <c r="W11" s="98">
        <v>6000</v>
      </c>
      <c r="X11" s="98">
        <v>6000</v>
      </c>
      <c r="Y11" s="98">
        <v>6000</v>
      </c>
      <c r="Z11" s="98">
        <v>9000</v>
      </c>
      <c r="AA11" s="98">
        <v>9000</v>
      </c>
      <c r="AB11" s="98">
        <v>9000</v>
      </c>
      <c r="AC11" s="98">
        <v>9000</v>
      </c>
      <c r="AD11" s="98">
        <v>9000</v>
      </c>
      <c r="AE11" s="98">
        <v>9000</v>
      </c>
      <c r="AF11" s="98">
        <v>9000</v>
      </c>
      <c r="AG11" s="98">
        <v>9000</v>
      </c>
      <c r="AH11" s="98">
        <v>9000</v>
      </c>
      <c r="AI11" s="98">
        <v>9000</v>
      </c>
      <c r="AJ11" s="98">
        <v>9000</v>
      </c>
      <c r="AK11" s="98">
        <v>9000</v>
      </c>
      <c r="AL11" s="98">
        <v>12000</v>
      </c>
      <c r="AM11" s="98">
        <v>12000</v>
      </c>
      <c r="AN11" s="98">
        <v>12000</v>
      </c>
      <c r="AO11" s="98">
        <v>12000</v>
      </c>
      <c r="AP11" s="98">
        <v>12000</v>
      </c>
      <c r="AQ11" s="98">
        <v>12000</v>
      </c>
      <c r="AR11" s="98">
        <v>12000</v>
      </c>
      <c r="AS11" s="98">
        <v>12000</v>
      </c>
      <c r="AT11" s="98">
        <v>12000</v>
      </c>
      <c r="AU11" s="98">
        <v>12000</v>
      </c>
      <c r="AV11" s="98">
        <v>12000</v>
      </c>
      <c r="AW11" s="98">
        <v>12000</v>
      </c>
      <c r="AX11" s="98">
        <v>15000</v>
      </c>
      <c r="AY11" s="98">
        <v>15000</v>
      </c>
      <c r="AZ11" s="98">
        <v>15000</v>
      </c>
      <c r="BA11" s="98">
        <v>15000</v>
      </c>
      <c r="BB11" s="98">
        <v>15000</v>
      </c>
      <c r="BC11" s="98">
        <v>15000</v>
      </c>
      <c r="BD11" s="98">
        <v>15000</v>
      </c>
      <c r="BE11" s="98">
        <v>15000</v>
      </c>
      <c r="BF11" s="98">
        <v>15000</v>
      </c>
      <c r="BG11" s="98">
        <v>15000</v>
      </c>
      <c r="BH11" s="98">
        <v>15000</v>
      </c>
      <c r="BI11" s="98">
        <v>15000</v>
      </c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21"/>
    </row>
    <row r="12" spans="1:86">
      <c r="A12" s="94" t="s">
        <v>129</v>
      </c>
      <c r="B12" s="98">
        <v>20000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>
        <f>239*SUM(Funcionários!N9:N12)</f>
        <v>1673</v>
      </c>
      <c r="O12" s="98">
        <f>239*SUM(Funcionários!O9:O12)</f>
        <v>1673</v>
      </c>
      <c r="P12" s="98">
        <f>239*SUM(Funcionários!P9:P12)</f>
        <v>1673</v>
      </c>
      <c r="Q12" s="98">
        <f>239*SUM(Funcionários!Q9:Q12)</f>
        <v>1673</v>
      </c>
      <c r="R12" s="98">
        <f>239*SUM(Funcionários!R9:R12)</f>
        <v>1673</v>
      </c>
      <c r="S12" s="98">
        <f>239*SUM(Funcionários!S9:S12)</f>
        <v>1673</v>
      </c>
      <c r="T12" s="98">
        <f>239*SUM(Funcionários!T9:T12)</f>
        <v>1673</v>
      </c>
      <c r="U12" s="98">
        <f>239*SUM(Funcionários!U9:U12)</f>
        <v>1673</v>
      </c>
      <c r="V12" s="98">
        <f>239*SUM(Funcionários!V9:V12)</f>
        <v>1673</v>
      </c>
      <c r="W12" s="98">
        <f>239*SUM(Funcionários!W9:W12)</f>
        <v>1673</v>
      </c>
      <c r="X12" s="98">
        <f>239*SUM(Funcionários!X9:X12)</f>
        <v>1673</v>
      </c>
      <c r="Y12" s="98">
        <f>239*SUM(Funcionários!Y9:Y12)</f>
        <v>1673</v>
      </c>
      <c r="Z12" s="98">
        <f>239*SUM(Funcionários!Z9:Z12)</f>
        <v>2390</v>
      </c>
      <c r="AA12" s="98">
        <f>239*SUM(Funcionários!AA9:AA12)</f>
        <v>2390</v>
      </c>
      <c r="AB12" s="98">
        <f>239*SUM(Funcionários!AB9:AB12)</f>
        <v>2390</v>
      </c>
      <c r="AC12" s="98">
        <f>239*SUM(Funcionários!AC9:AC12)</f>
        <v>2390</v>
      </c>
      <c r="AD12" s="98">
        <f>239*SUM(Funcionários!AD9:AD12)</f>
        <v>2390</v>
      </c>
      <c r="AE12" s="98">
        <f>239*SUM(Funcionários!AE9:AE12)</f>
        <v>2390</v>
      </c>
      <c r="AF12" s="98">
        <f>239*SUM(Funcionários!AF9:AF12)</f>
        <v>2390</v>
      </c>
      <c r="AG12" s="98">
        <f>239*SUM(Funcionários!AG9:AG12)</f>
        <v>2390</v>
      </c>
      <c r="AH12" s="98">
        <f>239*SUM(Funcionários!AH9:AH12)</f>
        <v>2390</v>
      </c>
      <c r="AI12" s="98">
        <f>239*SUM(Funcionários!AI9:AI12)</f>
        <v>2390</v>
      </c>
      <c r="AJ12" s="98">
        <f>239*SUM(Funcionários!AJ9:AJ12)</f>
        <v>2390</v>
      </c>
      <c r="AK12" s="98">
        <f>239*SUM(Funcionários!AK9:AK12)</f>
        <v>2390</v>
      </c>
      <c r="AL12" s="98">
        <f>239*SUM(Funcionários!AL9:AL12)</f>
        <v>3107</v>
      </c>
      <c r="AM12" s="98">
        <f>239*SUM(Funcionários!AM9:AM12)</f>
        <v>3107</v>
      </c>
      <c r="AN12" s="98">
        <f>239*SUM(Funcionários!AN9:AN12)</f>
        <v>3107</v>
      </c>
      <c r="AO12" s="98">
        <f>239*SUM(Funcionários!AO9:AO12)</f>
        <v>3107</v>
      </c>
      <c r="AP12" s="98">
        <f>239*SUM(Funcionários!AP9:AP12)</f>
        <v>3107</v>
      </c>
      <c r="AQ12" s="98">
        <f>239*SUM(Funcionários!AQ9:AQ12)</f>
        <v>3107</v>
      </c>
      <c r="AR12" s="98">
        <f>239*SUM(Funcionários!AR9:AR12)</f>
        <v>3107</v>
      </c>
      <c r="AS12" s="98">
        <f>239*SUM(Funcionários!AS9:AS12)</f>
        <v>3107</v>
      </c>
      <c r="AT12" s="98">
        <f>239*SUM(Funcionários!AT9:AT12)</f>
        <v>3107</v>
      </c>
      <c r="AU12" s="98">
        <f>239*SUM(Funcionários!AU9:AU12)</f>
        <v>3107</v>
      </c>
      <c r="AV12" s="98">
        <f>239*SUM(Funcionários!AV9:AV12)</f>
        <v>3107</v>
      </c>
      <c r="AW12" s="98">
        <f>239*SUM(Funcionários!AW9:AW12)</f>
        <v>3107</v>
      </c>
      <c r="AX12" s="98">
        <f>239*SUM(Funcionários!AX9:AX12)</f>
        <v>3824</v>
      </c>
      <c r="AY12" s="98">
        <f>239*SUM(Funcionários!AY9:AY12)</f>
        <v>3824</v>
      </c>
      <c r="AZ12" s="98">
        <f>239*SUM(Funcionários!AZ9:AZ12)</f>
        <v>3824</v>
      </c>
      <c r="BA12" s="98">
        <f>239*SUM(Funcionários!BA9:BA12)</f>
        <v>3824</v>
      </c>
      <c r="BB12" s="98">
        <f>239*SUM(Funcionários!BB9:BB12)</f>
        <v>3824</v>
      </c>
      <c r="BC12" s="98">
        <f>239*SUM(Funcionários!BC9:BC12)</f>
        <v>3824</v>
      </c>
      <c r="BD12" s="98">
        <f>239*SUM(Funcionários!BD9:BD12)</f>
        <v>3824</v>
      </c>
      <c r="BE12" s="98">
        <f>239*SUM(Funcionários!BE9:BE12)</f>
        <v>3824</v>
      </c>
      <c r="BF12" s="98">
        <f>239*SUM(Funcionários!BF9:BF12)</f>
        <v>3824</v>
      </c>
      <c r="BG12" s="98">
        <f>239*SUM(Funcionários!BG9:BG12)</f>
        <v>3824</v>
      </c>
      <c r="BH12" s="98">
        <f>239*SUM(Funcionários!BH9:BH12)</f>
        <v>3824</v>
      </c>
      <c r="BI12" s="98">
        <f>239*SUM(Funcionários!BI9:BI12)</f>
        <v>3824</v>
      </c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21"/>
    </row>
    <row r="13" spans="1:86">
      <c r="A13" s="94" t="s">
        <v>28</v>
      </c>
      <c r="B13" s="98">
        <v>5000</v>
      </c>
      <c r="C13" s="98">
        <v>5000</v>
      </c>
      <c r="D13" s="98">
        <v>5000</v>
      </c>
      <c r="E13" s="98">
        <v>5000</v>
      </c>
      <c r="F13" s="98">
        <v>5000</v>
      </c>
      <c r="G13" s="98">
        <v>5000</v>
      </c>
      <c r="H13" s="98">
        <v>5000</v>
      </c>
      <c r="I13" s="98">
        <v>5000</v>
      </c>
      <c r="J13" s="98">
        <v>5000</v>
      </c>
      <c r="K13" s="98">
        <v>5000</v>
      </c>
      <c r="L13" s="98">
        <v>5000</v>
      </c>
      <c r="M13" s="98">
        <v>5000</v>
      </c>
      <c r="N13" s="98">
        <v>8000</v>
      </c>
      <c r="O13" s="98">
        <v>8000</v>
      </c>
      <c r="P13" s="98">
        <v>8000</v>
      </c>
      <c r="Q13" s="98">
        <v>8000</v>
      </c>
      <c r="R13" s="98">
        <v>8000</v>
      </c>
      <c r="S13" s="98">
        <v>8000</v>
      </c>
      <c r="T13" s="98">
        <v>8000</v>
      </c>
      <c r="U13" s="98">
        <v>8000</v>
      </c>
      <c r="V13" s="98">
        <v>8000</v>
      </c>
      <c r="W13" s="98">
        <v>8000</v>
      </c>
      <c r="X13" s="98">
        <v>8000</v>
      </c>
      <c r="Y13" s="98">
        <v>8000</v>
      </c>
      <c r="Z13" s="98">
        <v>12000</v>
      </c>
      <c r="AA13" s="98">
        <v>12000</v>
      </c>
      <c r="AB13" s="98">
        <v>12000</v>
      </c>
      <c r="AC13" s="98">
        <v>12000</v>
      </c>
      <c r="AD13" s="98">
        <v>12000</v>
      </c>
      <c r="AE13" s="98">
        <v>12000</v>
      </c>
      <c r="AF13" s="98">
        <v>12000</v>
      </c>
      <c r="AG13" s="98">
        <v>12000</v>
      </c>
      <c r="AH13" s="98">
        <v>12000</v>
      </c>
      <c r="AI13" s="98">
        <v>12000</v>
      </c>
      <c r="AJ13" s="98">
        <v>12000</v>
      </c>
      <c r="AK13" s="98">
        <v>12000</v>
      </c>
      <c r="AL13" s="98">
        <v>15000</v>
      </c>
      <c r="AM13" s="98">
        <v>15000</v>
      </c>
      <c r="AN13" s="98">
        <v>15000</v>
      </c>
      <c r="AO13" s="98">
        <v>15000</v>
      </c>
      <c r="AP13" s="98">
        <v>15000</v>
      </c>
      <c r="AQ13" s="98">
        <v>15000</v>
      </c>
      <c r="AR13" s="98">
        <v>15000</v>
      </c>
      <c r="AS13" s="98">
        <v>15000</v>
      </c>
      <c r="AT13" s="98">
        <v>15000</v>
      </c>
      <c r="AU13" s="98">
        <v>15000</v>
      </c>
      <c r="AV13" s="98">
        <v>15000</v>
      </c>
      <c r="AW13" s="98">
        <v>15000</v>
      </c>
      <c r="AX13" s="98">
        <v>15000</v>
      </c>
      <c r="AY13" s="98">
        <v>15000</v>
      </c>
      <c r="AZ13" s="98">
        <v>15000</v>
      </c>
      <c r="BA13" s="98">
        <v>15000</v>
      </c>
      <c r="BB13" s="98">
        <v>15000</v>
      </c>
      <c r="BC13" s="98">
        <v>15000</v>
      </c>
      <c r="BD13" s="98">
        <v>15000</v>
      </c>
      <c r="BE13" s="98">
        <v>15000</v>
      </c>
      <c r="BF13" s="98">
        <v>15000</v>
      </c>
      <c r="BG13" s="98">
        <v>15000</v>
      </c>
      <c r="BH13" s="98">
        <v>15000</v>
      </c>
      <c r="BI13" s="98">
        <v>15000</v>
      </c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21"/>
    </row>
    <row r="14" spans="1:86">
      <c r="A14" s="94" t="s">
        <v>23</v>
      </c>
      <c r="B14" s="98">
        <v>1000</v>
      </c>
      <c r="C14" s="98">
        <v>1000</v>
      </c>
      <c r="D14" s="98">
        <v>1000</v>
      </c>
      <c r="E14" s="98">
        <v>1000</v>
      </c>
      <c r="F14" s="98">
        <v>1000</v>
      </c>
      <c r="G14" s="98">
        <v>1000</v>
      </c>
      <c r="H14" s="98">
        <v>1000</v>
      </c>
      <c r="I14" s="98">
        <v>1000</v>
      </c>
      <c r="J14" s="98">
        <v>1000</v>
      </c>
      <c r="K14" s="98">
        <v>1000</v>
      </c>
      <c r="L14" s="98">
        <v>1000</v>
      </c>
      <c r="M14" s="98">
        <v>1000</v>
      </c>
      <c r="N14" s="98">
        <v>1000</v>
      </c>
      <c r="O14" s="98">
        <v>1000</v>
      </c>
      <c r="P14" s="98">
        <v>1000</v>
      </c>
      <c r="Q14" s="98">
        <v>1000</v>
      </c>
      <c r="R14" s="98">
        <v>1000</v>
      </c>
      <c r="S14" s="98">
        <v>1000</v>
      </c>
      <c r="T14" s="98">
        <v>1000</v>
      </c>
      <c r="U14" s="98">
        <v>1000</v>
      </c>
      <c r="V14" s="98">
        <v>1000</v>
      </c>
      <c r="W14" s="98">
        <v>1000</v>
      </c>
      <c r="X14" s="98">
        <v>1000</v>
      </c>
      <c r="Y14" s="98">
        <v>1000</v>
      </c>
      <c r="Z14" s="98">
        <v>1000</v>
      </c>
      <c r="AA14" s="98">
        <v>1000</v>
      </c>
      <c r="AB14" s="98">
        <v>1000</v>
      </c>
      <c r="AC14" s="98">
        <v>1000</v>
      </c>
      <c r="AD14" s="98">
        <v>1000</v>
      </c>
      <c r="AE14" s="98">
        <v>1000</v>
      </c>
      <c r="AF14" s="98">
        <v>1000</v>
      </c>
      <c r="AG14" s="98">
        <v>1000</v>
      </c>
      <c r="AH14" s="98">
        <v>1000</v>
      </c>
      <c r="AI14" s="98">
        <v>1000</v>
      </c>
      <c r="AJ14" s="98">
        <v>1000</v>
      </c>
      <c r="AK14" s="98">
        <v>1000</v>
      </c>
      <c r="AL14" s="98">
        <v>1000</v>
      </c>
      <c r="AM14" s="98">
        <v>1000</v>
      </c>
      <c r="AN14" s="98">
        <v>1000</v>
      </c>
      <c r="AO14" s="98">
        <v>1000</v>
      </c>
      <c r="AP14" s="98">
        <v>1000</v>
      </c>
      <c r="AQ14" s="98">
        <v>1000</v>
      </c>
      <c r="AR14" s="98">
        <v>1000</v>
      </c>
      <c r="AS14" s="98">
        <v>1000</v>
      </c>
      <c r="AT14" s="98">
        <v>1000</v>
      </c>
      <c r="AU14" s="98">
        <v>1000</v>
      </c>
      <c r="AV14" s="98">
        <v>1000</v>
      </c>
      <c r="AW14" s="98">
        <v>1000</v>
      </c>
      <c r="AX14" s="98">
        <v>1000</v>
      </c>
      <c r="AY14" s="98">
        <v>1000</v>
      </c>
      <c r="AZ14" s="98">
        <v>1000</v>
      </c>
      <c r="BA14" s="98">
        <v>1000</v>
      </c>
      <c r="BB14" s="98">
        <v>1000</v>
      </c>
      <c r="BC14" s="98">
        <v>1000</v>
      </c>
      <c r="BD14" s="98">
        <v>1000</v>
      </c>
      <c r="BE14" s="98">
        <v>1000</v>
      </c>
      <c r="BF14" s="98">
        <v>1000</v>
      </c>
      <c r="BG14" s="98">
        <v>1000</v>
      </c>
      <c r="BH14" s="98">
        <v>1000</v>
      </c>
      <c r="BI14" s="98">
        <v>1000</v>
      </c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21"/>
    </row>
    <row r="15" spans="1:86" ht="15.75" thickBot="1">
      <c r="A15" s="94" t="s">
        <v>192</v>
      </c>
      <c r="B15" s="98">
        <v>1500</v>
      </c>
      <c r="C15" s="98">
        <v>1500</v>
      </c>
      <c r="D15" s="98">
        <v>1500</v>
      </c>
      <c r="E15" s="98">
        <v>1500</v>
      </c>
      <c r="F15" s="98">
        <v>1500</v>
      </c>
      <c r="G15" s="98">
        <v>1500</v>
      </c>
      <c r="H15" s="98">
        <v>1500</v>
      </c>
      <c r="I15" s="98">
        <v>1500</v>
      </c>
      <c r="J15" s="98">
        <v>1500</v>
      </c>
      <c r="K15" s="98">
        <v>1500</v>
      </c>
      <c r="L15" s="98">
        <v>1500</v>
      </c>
      <c r="M15" s="98">
        <v>1500</v>
      </c>
      <c r="N15" s="98">
        <v>1500</v>
      </c>
      <c r="O15" s="98">
        <v>1500</v>
      </c>
      <c r="P15" s="98">
        <v>1500</v>
      </c>
      <c r="Q15" s="98">
        <v>1500</v>
      </c>
      <c r="R15" s="98">
        <v>1500</v>
      </c>
      <c r="S15" s="98">
        <v>1500</v>
      </c>
      <c r="T15" s="98">
        <v>1500</v>
      </c>
      <c r="U15" s="98">
        <v>1500</v>
      </c>
      <c r="V15" s="98">
        <v>1500</v>
      </c>
      <c r="W15" s="98">
        <v>1500</v>
      </c>
      <c r="X15" s="98">
        <v>1500</v>
      </c>
      <c r="Y15" s="98">
        <v>1500</v>
      </c>
      <c r="Z15" s="98">
        <v>1500</v>
      </c>
      <c r="AA15" s="98">
        <v>1500</v>
      </c>
      <c r="AB15" s="98">
        <v>1500</v>
      </c>
      <c r="AC15" s="98">
        <v>1500</v>
      </c>
      <c r="AD15" s="98">
        <v>1500</v>
      </c>
      <c r="AE15" s="98">
        <v>1500</v>
      </c>
      <c r="AF15" s="98">
        <v>1500</v>
      </c>
      <c r="AG15" s="98">
        <v>1500</v>
      </c>
      <c r="AH15" s="98">
        <v>1500</v>
      </c>
      <c r="AI15" s="98">
        <v>1500</v>
      </c>
      <c r="AJ15" s="98">
        <v>1500</v>
      </c>
      <c r="AK15" s="98">
        <v>1500</v>
      </c>
      <c r="AL15" s="98">
        <v>1500</v>
      </c>
      <c r="AM15" s="98">
        <v>1500</v>
      </c>
      <c r="AN15" s="98">
        <v>1500</v>
      </c>
      <c r="AO15" s="98">
        <v>1500</v>
      </c>
      <c r="AP15" s="98">
        <v>1500</v>
      </c>
      <c r="AQ15" s="98">
        <v>1500</v>
      </c>
      <c r="AR15" s="98">
        <v>1500</v>
      </c>
      <c r="AS15" s="98">
        <v>1500</v>
      </c>
      <c r="AT15" s="98">
        <v>1500</v>
      </c>
      <c r="AU15" s="98">
        <v>1500</v>
      </c>
      <c r="AV15" s="98">
        <v>1500</v>
      </c>
      <c r="AW15" s="98">
        <v>1500</v>
      </c>
      <c r="AX15" s="98">
        <v>1500</v>
      </c>
      <c r="AY15" s="98">
        <v>1500</v>
      </c>
      <c r="AZ15" s="98">
        <v>1500</v>
      </c>
      <c r="BA15" s="98">
        <v>1500</v>
      </c>
      <c r="BB15" s="98">
        <v>1500</v>
      </c>
      <c r="BC15" s="98">
        <v>1500</v>
      </c>
      <c r="BD15" s="98">
        <v>1500</v>
      </c>
      <c r="BE15" s="98">
        <v>1500</v>
      </c>
      <c r="BF15" s="98">
        <v>1500</v>
      </c>
      <c r="BG15" s="98">
        <v>1500</v>
      </c>
      <c r="BH15" s="98">
        <v>1500</v>
      </c>
      <c r="BI15" s="98">
        <v>1500</v>
      </c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21"/>
    </row>
    <row r="16" spans="1:86" ht="15.75" thickBot="1">
      <c r="A16" s="26" t="s">
        <v>25</v>
      </c>
      <c r="B16" s="99">
        <f t="shared" ref="B16:AG16" si="1">SUM(B5:B15)</f>
        <v>31214.97</v>
      </c>
      <c r="C16" s="99">
        <f t="shared" si="1"/>
        <v>12564.970000000001</v>
      </c>
      <c r="D16" s="99">
        <f t="shared" si="1"/>
        <v>13914.970000000001</v>
      </c>
      <c r="E16" s="99">
        <f t="shared" si="1"/>
        <v>13914.970000000001</v>
      </c>
      <c r="F16" s="99">
        <f t="shared" si="1"/>
        <v>13974.970000000001</v>
      </c>
      <c r="G16" s="99">
        <f t="shared" si="1"/>
        <v>13974.970000000001</v>
      </c>
      <c r="H16" s="99">
        <f t="shared" si="1"/>
        <v>16974.97</v>
      </c>
      <c r="I16" s="99">
        <f t="shared" si="1"/>
        <v>16974.97</v>
      </c>
      <c r="J16" s="99">
        <f t="shared" si="1"/>
        <v>17154.97</v>
      </c>
      <c r="K16" s="99">
        <f t="shared" si="1"/>
        <v>17154.97</v>
      </c>
      <c r="L16" s="99">
        <f t="shared" si="1"/>
        <v>17154.97</v>
      </c>
      <c r="M16" s="99">
        <f t="shared" si="1"/>
        <v>17154.97</v>
      </c>
      <c r="N16" s="99">
        <f t="shared" si="1"/>
        <v>30227.95</v>
      </c>
      <c r="O16" s="99">
        <f t="shared" si="1"/>
        <v>30227.95</v>
      </c>
      <c r="P16" s="99">
        <f t="shared" si="1"/>
        <v>30227.95</v>
      </c>
      <c r="Q16" s="99">
        <f t="shared" si="1"/>
        <v>30227.95</v>
      </c>
      <c r="R16" s="99">
        <f t="shared" si="1"/>
        <v>30227.95</v>
      </c>
      <c r="S16" s="99">
        <f t="shared" si="1"/>
        <v>30227.95</v>
      </c>
      <c r="T16" s="99">
        <f t="shared" si="1"/>
        <v>30227.95</v>
      </c>
      <c r="U16" s="99">
        <f t="shared" si="1"/>
        <v>30227.95</v>
      </c>
      <c r="V16" s="99">
        <f t="shared" si="1"/>
        <v>30227.95</v>
      </c>
      <c r="W16" s="99">
        <f t="shared" si="1"/>
        <v>30227.95</v>
      </c>
      <c r="X16" s="99">
        <f t="shared" si="1"/>
        <v>30227.95</v>
      </c>
      <c r="Y16" s="99">
        <f t="shared" si="1"/>
        <v>30227.95</v>
      </c>
      <c r="Z16" s="99">
        <f t="shared" si="1"/>
        <v>38254.93</v>
      </c>
      <c r="AA16" s="99">
        <f t="shared" si="1"/>
        <v>38254.93</v>
      </c>
      <c r="AB16" s="99">
        <f t="shared" si="1"/>
        <v>38254.93</v>
      </c>
      <c r="AC16" s="99">
        <f t="shared" si="1"/>
        <v>38254.93</v>
      </c>
      <c r="AD16" s="99">
        <f t="shared" si="1"/>
        <v>38254.93</v>
      </c>
      <c r="AE16" s="99">
        <f t="shared" si="1"/>
        <v>38254.93</v>
      </c>
      <c r="AF16" s="99">
        <f t="shared" si="1"/>
        <v>38254.93</v>
      </c>
      <c r="AG16" s="99">
        <f t="shared" si="1"/>
        <v>38254.93</v>
      </c>
      <c r="AH16" s="99">
        <f t="shared" ref="AH16:BI16" si="2">SUM(AH5:AH15)</f>
        <v>38254.93</v>
      </c>
      <c r="AI16" s="99">
        <f t="shared" si="2"/>
        <v>38254.93</v>
      </c>
      <c r="AJ16" s="99">
        <f t="shared" si="2"/>
        <v>38254.93</v>
      </c>
      <c r="AK16" s="99">
        <f t="shared" si="2"/>
        <v>38254.93</v>
      </c>
      <c r="AL16" s="99">
        <f t="shared" si="2"/>
        <v>50271.91</v>
      </c>
      <c r="AM16" s="99">
        <f t="shared" si="2"/>
        <v>50271.91</v>
      </c>
      <c r="AN16" s="99">
        <f t="shared" si="2"/>
        <v>50271.91</v>
      </c>
      <c r="AO16" s="99">
        <f t="shared" si="2"/>
        <v>50271.91</v>
      </c>
      <c r="AP16" s="99">
        <f t="shared" si="2"/>
        <v>50271.91</v>
      </c>
      <c r="AQ16" s="99">
        <f t="shared" si="2"/>
        <v>50271.91</v>
      </c>
      <c r="AR16" s="99">
        <f t="shared" si="2"/>
        <v>50271.91</v>
      </c>
      <c r="AS16" s="99">
        <f t="shared" si="2"/>
        <v>50271.91</v>
      </c>
      <c r="AT16" s="99">
        <f t="shared" si="2"/>
        <v>50271.91</v>
      </c>
      <c r="AU16" s="99">
        <f t="shared" si="2"/>
        <v>50271.91</v>
      </c>
      <c r="AV16" s="99">
        <f t="shared" si="2"/>
        <v>50271.91</v>
      </c>
      <c r="AW16" s="99">
        <f t="shared" si="2"/>
        <v>50271.91</v>
      </c>
      <c r="AX16" s="99">
        <f t="shared" si="2"/>
        <v>59288.89</v>
      </c>
      <c r="AY16" s="99">
        <f t="shared" si="2"/>
        <v>59288.89</v>
      </c>
      <c r="AZ16" s="99">
        <f t="shared" si="2"/>
        <v>59288.89</v>
      </c>
      <c r="BA16" s="99">
        <f t="shared" si="2"/>
        <v>59288.89</v>
      </c>
      <c r="BB16" s="99">
        <f t="shared" si="2"/>
        <v>59288.89</v>
      </c>
      <c r="BC16" s="99">
        <f t="shared" si="2"/>
        <v>59288.89</v>
      </c>
      <c r="BD16" s="99">
        <f t="shared" si="2"/>
        <v>59288.89</v>
      </c>
      <c r="BE16" s="99">
        <f t="shared" si="2"/>
        <v>59288.89</v>
      </c>
      <c r="BF16" s="99">
        <f t="shared" si="2"/>
        <v>59288.89</v>
      </c>
      <c r="BG16" s="99">
        <f t="shared" si="2"/>
        <v>59288.89</v>
      </c>
      <c r="BH16" s="99">
        <f t="shared" si="2"/>
        <v>59288.89</v>
      </c>
      <c r="BI16" s="99">
        <f t="shared" si="2"/>
        <v>59288.89</v>
      </c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21"/>
    </row>
    <row r="17" spans="1:86" ht="15.75" thickTop="1"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</row>
    <row r="19" spans="1:86" ht="15.75">
      <c r="A19" s="167" t="s">
        <v>69</v>
      </c>
      <c r="B19" s="199" t="s">
        <v>93</v>
      </c>
      <c r="C19" s="200" t="s">
        <v>94</v>
      </c>
      <c r="D19" s="199" t="s">
        <v>95</v>
      </c>
      <c r="E19" s="199" t="s">
        <v>96</v>
      </c>
      <c r="F19" s="200" t="s">
        <v>97</v>
      </c>
    </row>
    <row r="20" spans="1:86">
      <c r="A20" s="94" t="s">
        <v>112</v>
      </c>
      <c r="B20" s="201">
        <f>SUM(B5:M5)</f>
        <v>2400</v>
      </c>
      <c r="C20" s="201">
        <f>SUM(N5:Y5)</f>
        <v>3600</v>
      </c>
      <c r="D20" s="201">
        <f>SUM(Z5:AK5)</f>
        <v>6000</v>
      </c>
      <c r="E20" s="201">
        <f>SUM(AL5:AW5)</f>
        <v>9600</v>
      </c>
      <c r="F20" s="201">
        <f>SUM(AX5:BI5)</f>
        <v>16800</v>
      </c>
    </row>
    <row r="21" spans="1:86">
      <c r="A21" s="94" t="s">
        <v>142</v>
      </c>
      <c r="B21" s="201">
        <f>SUM(B6:M6)</f>
        <v>1200</v>
      </c>
      <c r="C21" s="201">
        <f>SUM(N6:Y6)</f>
        <v>1200</v>
      </c>
      <c r="D21" s="201">
        <f>SUM(Z6:AK6)</f>
        <v>1200</v>
      </c>
      <c r="E21" s="201">
        <f>SUM(AL6:AW6)</f>
        <v>1200</v>
      </c>
      <c r="F21" s="201">
        <f>SUM(AX6:BI6)</f>
        <v>1200</v>
      </c>
    </row>
    <row r="22" spans="1:86">
      <c r="A22" s="94" t="s">
        <v>133</v>
      </c>
      <c r="B22" s="201">
        <f t="shared" ref="B22:B30" si="3">SUM(B7:M7)</f>
        <v>1979.64</v>
      </c>
      <c r="C22" s="201">
        <f t="shared" ref="C22:C30" si="4">SUM(N7:Y7)</f>
        <v>3299.3999999999992</v>
      </c>
      <c r="D22" s="201">
        <f t="shared" ref="D22:D30" si="5">SUM(Z7:AK7)</f>
        <v>4619.16</v>
      </c>
      <c r="E22" s="201">
        <f t="shared" ref="E22:E30" si="6">SUM(AL7:AW7)</f>
        <v>5938.9199999999992</v>
      </c>
      <c r="F22" s="201">
        <f t="shared" ref="F22:F30" si="7">SUM(AX7:BI7)</f>
        <v>7258.6800000000012</v>
      </c>
      <c r="O22" s="95"/>
    </row>
    <row r="23" spans="1:86">
      <c r="A23" s="33" t="s">
        <v>113</v>
      </c>
      <c r="B23" s="201">
        <f t="shared" si="3"/>
        <v>12000</v>
      </c>
      <c r="C23" s="201">
        <f t="shared" si="4"/>
        <v>12000</v>
      </c>
      <c r="D23" s="201">
        <f t="shared" si="5"/>
        <v>12000</v>
      </c>
      <c r="E23" s="201">
        <f t="shared" si="6"/>
        <v>12000</v>
      </c>
      <c r="F23" s="201">
        <f t="shared" si="7"/>
        <v>12000</v>
      </c>
    </row>
    <row r="24" spans="1:86">
      <c r="A24" s="179" t="s">
        <v>130</v>
      </c>
      <c r="B24" s="201">
        <f t="shared" si="3"/>
        <v>47970</v>
      </c>
      <c r="C24" s="201">
        <f t="shared" si="4"/>
        <v>102960</v>
      </c>
      <c r="D24" s="201">
        <f t="shared" si="5"/>
        <v>102960</v>
      </c>
      <c r="E24" s="201">
        <f t="shared" si="6"/>
        <v>154440</v>
      </c>
      <c r="F24" s="201">
        <f t="shared" si="7"/>
        <v>205920</v>
      </c>
    </row>
    <row r="25" spans="1:86">
      <c r="A25" s="179" t="s">
        <v>191</v>
      </c>
      <c r="B25" s="201">
        <f t="shared" si="3"/>
        <v>8580</v>
      </c>
      <c r="C25" s="201">
        <f t="shared" si="4"/>
        <v>21600</v>
      </c>
      <c r="D25" s="201">
        <f t="shared" si="5"/>
        <v>21600</v>
      </c>
      <c r="E25" s="201">
        <f t="shared" si="6"/>
        <v>28800</v>
      </c>
      <c r="F25" s="201">
        <f t="shared" si="7"/>
        <v>32400</v>
      </c>
    </row>
    <row r="26" spans="1:86">
      <c r="A26" s="94" t="s">
        <v>126</v>
      </c>
      <c r="B26" s="201">
        <f t="shared" si="3"/>
        <v>18000</v>
      </c>
      <c r="C26" s="201">
        <f t="shared" si="4"/>
        <v>72000</v>
      </c>
      <c r="D26" s="201">
        <f t="shared" si="5"/>
        <v>108000</v>
      </c>
      <c r="E26" s="201">
        <f t="shared" si="6"/>
        <v>144000</v>
      </c>
      <c r="F26" s="201">
        <f t="shared" si="7"/>
        <v>180000</v>
      </c>
    </row>
    <row r="27" spans="1:86">
      <c r="A27" s="94" t="s">
        <v>129</v>
      </c>
      <c r="B27" s="201">
        <f t="shared" si="3"/>
        <v>20000</v>
      </c>
      <c r="C27" s="201">
        <f t="shared" si="4"/>
        <v>20076</v>
      </c>
      <c r="D27" s="201">
        <f t="shared" si="5"/>
        <v>28680</v>
      </c>
      <c r="E27" s="201">
        <f t="shared" si="6"/>
        <v>37284</v>
      </c>
      <c r="F27" s="201">
        <f t="shared" si="7"/>
        <v>45888</v>
      </c>
    </row>
    <row r="28" spans="1:86">
      <c r="A28" s="94" t="s">
        <v>28</v>
      </c>
      <c r="B28" s="201">
        <f t="shared" si="3"/>
        <v>60000</v>
      </c>
      <c r="C28" s="201">
        <f t="shared" si="4"/>
        <v>96000</v>
      </c>
      <c r="D28" s="201">
        <f t="shared" si="5"/>
        <v>144000</v>
      </c>
      <c r="E28" s="201">
        <f t="shared" si="6"/>
        <v>180000</v>
      </c>
      <c r="F28" s="201">
        <f t="shared" si="7"/>
        <v>180000</v>
      </c>
    </row>
    <row r="29" spans="1:86">
      <c r="A29" s="94" t="s">
        <v>23</v>
      </c>
      <c r="B29" s="201">
        <f t="shared" si="3"/>
        <v>12000</v>
      </c>
      <c r="C29" s="201">
        <f t="shared" si="4"/>
        <v>12000</v>
      </c>
      <c r="D29" s="201">
        <f t="shared" si="5"/>
        <v>12000</v>
      </c>
      <c r="E29" s="201">
        <f t="shared" si="6"/>
        <v>12000</v>
      </c>
      <c r="F29" s="201">
        <f t="shared" si="7"/>
        <v>12000</v>
      </c>
    </row>
    <row r="30" spans="1:86">
      <c r="A30" s="94" t="s">
        <v>192</v>
      </c>
      <c r="B30" s="201">
        <f t="shared" si="3"/>
        <v>18000</v>
      </c>
      <c r="C30" s="201">
        <f t="shared" si="4"/>
        <v>18000</v>
      </c>
      <c r="D30" s="201">
        <f t="shared" si="5"/>
        <v>18000</v>
      </c>
      <c r="E30" s="201">
        <f t="shared" si="6"/>
        <v>18000</v>
      </c>
      <c r="F30" s="201">
        <f t="shared" si="7"/>
        <v>18000</v>
      </c>
    </row>
    <row r="31" spans="1:86">
      <c r="A31" s="202" t="s">
        <v>25</v>
      </c>
      <c r="B31" s="203">
        <f>SUM(B20:B30)</f>
        <v>202129.64</v>
      </c>
      <c r="C31" s="203">
        <f>SUM(C20:C30)</f>
        <v>362735.4</v>
      </c>
      <c r="D31" s="203">
        <f>SUM(D20:D30)</f>
        <v>459059.16000000003</v>
      </c>
      <c r="E31" s="203">
        <f>SUM(E20:E30)</f>
        <v>603262.91999999993</v>
      </c>
      <c r="F31" s="203">
        <f>SUM(F20:F30)</f>
        <v>711466.67999999993</v>
      </c>
    </row>
  </sheetData>
  <pageMargins left="0.7" right="0.7" top="0.75" bottom="0.75" header="0.3" footer="0.3"/>
  <pageSetup paperSize="9" orientation="portrait" horizontalDpi="4294967292" verticalDpi="4294967292" r:id="rId1"/>
  <ignoredErrors>
    <ignoredError sqref="B26:F26" formulaRange="1"/>
  </ignoredErrors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L21"/>
  <sheetViews>
    <sheetView zoomScaleNormal="100" zoomScalePageLayoutView="75" workbookViewId="0">
      <selection activeCell="G21" sqref="G21"/>
    </sheetView>
  </sheetViews>
  <sheetFormatPr defaultColWidth="8.85546875" defaultRowHeight="15"/>
  <cols>
    <col min="1" max="1" width="73.42578125" customWidth="1"/>
    <col min="2" max="3" width="14.85546875" bestFit="1" customWidth="1"/>
    <col min="4" max="6" width="16.5703125" bestFit="1" customWidth="1"/>
    <col min="7" max="8" width="13.7109375" bestFit="1" customWidth="1"/>
    <col min="9" max="9" width="15" bestFit="1" customWidth="1"/>
    <col min="10" max="13" width="13.7109375" bestFit="1" customWidth="1"/>
    <col min="14" max="14" width="15" bestFit="1" customWidth="1"/>
    <col min="15" max="34" width="13.7109375" bestFit="1" customWidth="1"/>
    <col min="35" max="61" width="14.85546875" bestFit="1" customWidth="1"/>
    <col min="62" max="62" width="12.7109375" bestFit="1" customWidth="1"/>
    <col min="68" max="68" width="12.7109375" bestFit="1" customWidth="1"/>
    <col min="74" max="74" width="12.7109375" bestFit="1" customWidth="1"/>
    <col min="84" max="84" width="12.7109375" bestFit="1" customWidth="1"/>
    <col min="85" max="85" width="12" customWidth="1"/>
  </cols>
  <sheetData>
    <row r="1" spans="1:90" ht="18">
      <c r="A1" s="50" t="s">
        <v>26</v>
      </c>
    </row>
    <row r="2" spans="1:90">
      <c r="A2" s="5" t="str">
        <f>CONCATENATE(Company, ": ",start, " -  ",end)</f>
        <v>Crush: Mês 1 -  Mês 60</v>
      </c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</row>
    <row r="3" spans="1:90" ht="15.75" thickBot="1"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</row>
    <row r="4" spans="1:90" ht="16.5" thickTop="1">
      <c r="A4" s="30" t="s">
        <v>26</v>
      </c>
      <c r="B4" s="31">
        <v>1</v>
      </c>
      <c r="C4" s="32">
        <v>2</v>
      </c>
      <c r="D4" s="31">
        <v>3</v>
      </c>
      <c r="E4" s="31">
        <v>4</v>
      </c>
      <c r="F4" s="32">
        <v>5</v>
      </c>
      <c r="G4" s="31">
        <v>6</v>
      </c>
      <c r="H4" s="31">
        <v>7</v>
      </c>
      <c r="I4" s="32">
        <v>8</v>
      </c>
      <c r="J4" s="31">
        <v>9</v>
      </c>
      <c r="K4" s="31">
        <v>10</v>
      </c>
      <c r="L4" s="32">
        <v>11</v>
      </c>
      <c r="M4" s="31">
        <v>12</v>
      </c>
      <c r="N4" s="31">
        <v>13</v>
      </c>
      <c r="O4" s="32">
        <v>14</v>
      </c>
      <c r="P4" s="31">
        <v>15</v>
      </c>
      <c r="Q4" s="31">
        <v>16</v>
      </c>
      <c r="R4" s="32">
        <v>17</v>
      </c>
      <c r="S4" s="31">
        <v>18</v>
      </c>
      <c r="T4" s="31">
        <v>19</v>
      </c>
      <c r="U4" s="32">
        <v>20</v>
      </c>
      <c r="V4" s="31">
        <v>21</v>
      </c>
      <c r="W4" s="31">
        <v>22</v>
      </c>
      <c r="X4" s="32">
        <v>23</v>
      </c>
      <c r="Y4" s="31">
        <v>24</v>
      </c>
      <c r="Z4" s="31">
        <v>25</v>
      </c>
      <c r="AA4" s="32">
        <v>26</v>
      </c>
      <c r="AB4" s="31">
        <v>27</v>
      </c>
      <c r="AC4" s="31">
        <v>28</v>
      </c>
      <c r="AD4" s="32">
        <v>29</v>
      </c>
      <c r="AE4" s="31">
        <v>30</v>
      </c>
      <c r="AF4" s="31">
        <v>31</v>
      </c>
      <c r="AG4" s="32">
        <v>32</v>
      </c>
      <c r="AH4" s="31">
        <v>33</v>
      </c>
      <c r="AI4" s="31">
        <v>34</v>
      </c>
      <c r="AJ4" s="32">
        <v>35</v>
      </c>
      <c r="AK4" s="31">
        <v>36</v>
      </c>
      <c r="AL4" s="31">
        <v>37</v>
      </c>
      <c r="AM4" s="32">
        <v>38</v>
      </c>
      <c r="AN4" s="31">
        <v>39</v>
      </c>
      <c r="AO4" s="31">
        <v>40</v>
      </c>
      <c r="AP4" s="32">
        <v>41</v>
      </c>
      <c r="AQ4" s="31">
        <v>42</v>
      </c>
      <c r="AR4" s="31">
        <v>43</v>
      </c>
      <c r="AS4" s="32">
        <v>44</v>
      </c>
      <c r="AT4" s="31">
        <v>45</v>
      </c>
      <c r="AU4" s="31">
        <v>46</v>
      </c>
      <c r="AV4" s="32">
        <v>47</v>
      </c>
      <c r="AW4" s="31">
        <v>48</v>
      </c>
      <c r="AX4" s="31">
        <v>49</v>
      </c>
      <c r="AY4" s="32">
        <v>50</v>
      </c>
      <c r="AZ4" s="31">
        <v>51</v>
      </c>
      <c r="BA4" s="31">
        <v>52</v>
      </c>
      <c r="BB4" s="32">
        <v>53</v>
      </c>
      <c r="BC4" s="31">
        <v>54</v>
      </c>
      <c r="BD4" s="31">
        <v>55</v>
      </c>
      <c r="BE4" s="32">
        <v>56</v>
      </c>
      <c r="BF4" s="31">
        <v>57</v>
      </c>
      <c r="BG4" s="31">
        <v>58</v>
      </c>
      <c r="BH4" s="32">
        <v>59</v>
      </c>
      <c r="BI4" s="54">
        <v>60</v>
      </c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21"/>
    </row>
    <row r="5" spans="1:90" s="22" customFormat="1">
      <c r="A5" s="33" t="s">
        <v>128</v>
      </c>
      <c r="B5" s="98">
        <v>50000</v>
      </c>
      <c r="C5" s="98"/>
      <c r="D5" s="98">
        <v>50000</v>
      </c>
      <c r="E5" s="98"/>
      <c r="F5" s="98">
        <v>50000</v>
      </c>
      <c r="G5" s="98"/>
      <c r="H5" s="98"/>
      <c r="I5" s="98">
        <v>50000</v>
      </c>
      <c r="J5" s="98"/>
      <c r="K5" s="98"/>
      <c r="L5" s="98"/>
      <c r="M5" s="98"/>
      <c r="N5" s="98">
        <v>50000</v>
      </c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>
        <v>50000</v>
      </c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>
        <v>50000</v>
      </c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>
        <v>50000</v>
      </c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21"/>
      <c r="CL5" s="55"/>
    </row>
    <row r="6" spans="1:90" s="22" customFormat="1">
      <c r="A6" s="33" t="s">
        <v>127</v>
      </c>
      <c r="B6" s="98">
        <v>5000</v>
      </c>
      <c r="C6" s="98">
        <v>5000</v>
      </c>
      <c r="D6" s="98">
        <v>5000</v>
      </c>
      <c r="E6" s="98">
        <v>5000</v>
      </c>
      <c r="F6" s="98">
        <v>5000</v>
      </c>
      <c r="G6" s="98">
        <v>5000</v>
      </c>
      <c r="H6" s="98">
        <v>5000</v>
      </c>
      <c r="I6" s="98">
        <v>5000</v>
      </c>
      <c r="J6" s="98">
        <v>5000</v>
      </c>
      <c r="K6" s="98">
        <v>5000</v>
      </c>
      <c r="L6" s="98">
        <v>5000</v>
      </c>
      <c r="M6" s="98">
        <v>5000</v>
      </c>
      <c r="N6" s="98">
        <v>10000</v>
      </c>
      <c r="O6" s="98">
        <v>10000</v>
      </c>
      <c r="P6" s="98">
        <v>10000</v>
      </c>
      <c r="Q6" s="98">
        <v>10000</v>
      </c>
      <c r="R6" s="98">
        <v>10000</v>
      </c>
      <c r="S6" s="98">
        <v>10000</v>
      </c>
      <c r="T6" s="98">
        <v>10000</v>
      </c>
      <c r="U6" s="98">
        <v>10000</v>
      </c>
      <c r="V6" s="98">
        <v>10000</v>
      </c>
      <c r="W6" s="98">
        <v>10000</v>
      </c>
      <c r="X6" s="98">
        <v>10000</v>
      </c>
      <c r="Y6" s="98">
        <v>10000</v>
      </c>
      <c r="Z6" s="98">
        <v>10000</v>
      </c>
      <c r="AA6" s="98">
        <v>10000</v>
      </c>
      <c r="AB6" s="98">
        <v>10000</v>
      </c>
      <c r="AC6" s="98">
        <v>10000</v>
      </c>
      <c r="AD6" s="98">
        <v>10000</v>
      </c>
      <c r="AE6" s="98">
        <v>10000</v>
      </c>
      <c r="AF6" s="98">
        <v>10000</v>
      </c>
      <c r="AG6" s="98">
        <v>10000</v>
      </c>
      <c r="AH6" s="98">
        <v>10000</v>
      </c>
      <c r="AI6" s="98">
        <v>10000</v>
      </c>
      <c r="AJ6" s="98">
        <v>10000</v>
      </c>
      <c r="AK6" s="98">
        <v>10000</v>
      </c>
      <c r="AL6" s="98">
        <v>10000</v>
      </c>
      <c r="AM6" s="98">
        <v>10000</v>
      </c>
      <c r="AN6" s="98">
        <v>10000</v>
      </c>
      <c r="AO6" s="98">
        <v>10000</v>
      </c>
      <c r="AP6" s="98">
        <v>10000</v>
      </c>
      <c r="AQ6" s="98">
        <v>10000</v>
      </c>
      <c r="AR6" s="98">
        <v>10000</v>
      </c>
      <c r="AS6" s="98">
        <v>10000</v>
      </c>
      <c r="AT6" s="98">
        <v>10000</v>
      </c>
      <c r="AU6" s="98">
        <v>10000</v>
      </c>
      <c r="AV6" s="98">
        <v>10000</v>
      </c>
      <c r="AW6" s="98">
        <v>10000</v>
      </c>
      <c r="AX6" s="98">
        <v>10000</v>
      </c>
      <c r="AY6" s="98">
        <v>10000</v>
      </c>
      <c r="AZ6" s="98">
        <v>10000</v>
      </c>
      <c r="BA6" s="98">
        <v>10000</v>
      </c>
      <c r="BB6" s="98">
        <v>10000</v>
      </c>
      <c r="BC6" s="98">
        <v>10000</v>
      </c>
      <c r="BD6" s="98">
        <v>10000</v>
      </c>
      <c r="BE6" s="98">
        <v>10000</v>
      </c>
      <c r="BF6" s="98">
        <v>10000</v>
      </c>
      <c r="BG6" s="98">
        <v>10000</v>
      </c>
      <c r="BH6" s="98">
        <v>10000</v>
      </c>
      <c r="BI6" s="98">
        <v>10000</v>
      </c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21"/>
      <c r="CL6" s="55"/>
    </row>
    <row r="7" spans="1:90" s="22" customFormat="1">
      <c r="A7" s="33" t="s">
        <v>193</v>
      </c>
      <c r="B7" s="98">
        <f>851*SUM(Funcionários!B12)</f>
        <v>1702</v>
      </c>
      <c r="C7" s="98">
        <f>851*SUM(Funcionários!C12)</f>
        <v>1702</v>
      </c>
      <c r="D7" s="98">
        <f>851*SUM(Funcionários!D12)</f>
        <v>1702</v>
      </c>
      <c r="E7" s="98">
        <f>851*SUM(Funcionários!E12)</f>
        <v>1702</v>
      </c>
      <c r="F7" s="98">
        <f>851*SUM(Funcionários!F12)</f>
        <v>1702</v>
      </c>
      <c r="G7" s="98">
        <f>851*SUM(Funcionários!G12)</f>
        <v>1702</v>
      </c>
      <c r="H7" s="98">
        <f>851*SUM(Funcionários!H12)</f>
        <v>1702</v>
      </c>
      <c r="I7" s="98">
        <f>851*SUM(Funcionários!I12)</f>
        <v>1702</v>
      </c>
      <c r="J7" s="98">
        <f>851*SUM(Funcionários!J12)</f>
        <v>1702</v>
      </c>
      <c r="K7" s="98">
        <f>851*SUM(Funcionários!K12)</f>
        <v>1702</v>
      </c>
      <c r="L7" s="98">
        <f>851*SUM(Funcionários!L12)</f>
        <v>1702</v>
      </c>
      <c r="M7" s="98">
        <f>851*SUM(Funcionários!M12)</f>
        <v>1702</v>
      </c>
      <c r="N7" s="98">
        <f>851*SUM(Funcionários!N12)</f>
        <v>3404</v>
      </c>
      <c r="O7" s="98">
        <f>851*SUM(Funcionários!O12)</f>
        <v>3404</v>
      </c>
      <c r="P7" s="98">
        <f>851*SUM(Funcionários!P12)</f>
        <v>3404</v>
      </c>
      <c r="Q7" s="98">
        <f>851*SUM(Funcionários!Q12)</f>
        <v>3404</v>
      </c>
      <c r="R7" s="98">
        <f>851*SUM(Funcionários!R12)</f>
        <v>3404</v>
      </c>
      <c r="S7" s="98">
        <f>851*SUM(Funcionários!S12)</f>
        <v>3404</v>
      </c>
      <c r="T7" s="98">
        <f>851*SUM(Funcionários!T12)</f>
        <v>3404</v>
      </c>
      <c r="U7" s="98">
        <f>851*SUM(Funcionários!U12)</f>
        <v>3404</v>
      </c>
      <c r="V7" s="98">
        <f>851*SUM(Funcionários!V12)</f>
        <v>3404</v>
      </c>
      <c r="W7" s="98">
        <f>851*SUM(Funcionários!W12)</f>
        <v>3404</v>
      </c>
      <c r="X7" s="98">
        <f>851*SUM(Funcionários!X12)</f>
        <v>3404</v>
      </c>
      <c r="Y7" s="98">
        <f>851*SUM(Funcionários!Y12)</f>
        <v>3404</v>
      </c>
      <c r="Z7" s="98">
        <f>851*SUM(Funcionários!Z12)</f>
        <v>5106</v>
      </c>
      <c r="AA7" s="98">
        <f>851*SUM(Funcionários!AA12)</f>
        <v>5106</v>
      </c>
      <c r="AB7" s="98">
        <f>851*SUM(Funcionários!AB12)</f>
        <v>5106</v>
      </c>
      <c r="AC7" s="98">
        <f>851*SUM(Funcionários!AC12)</f>
        <v>5106</v>
      </c>
      <c r="AD7" s="98">
        <f>851*SUM(Funcionários!AD12)</f>
        <v>5106</v>
      </c>
      <c r="AE7" s="98">
        <f>851*SUM(Funcionários!AE12)</f>
        <v>5106</v>
      </c>
      <c r="AF7" s="98">
        <f>851*SUM(Funcionários!AF12)</f>
        <v>5106</v>
      </c>
      <c r="AG7" s="98">
        <f>851*SUM(Funcionários!AG12)</f>
        <v>5106</v>
      </c>
      <c r="AH7" s="98">
        <f>851*SUM(Funcionários!AH12)</f>
        <v>5106</v>
      </c>
      <c r="AI7" s="98">
        <f>851*SUM(Funcionários!AI12)</f>
        <v>5106</v>
      </c>
      <c r="AJ7" s="98">
        <f>851*SUM(Funcionários!AJ12)</f>
        <v>5106</v>
      </c>
      <c r="AK7" s="98">
        <f>851*SUM(Funcionários!AK12)</f>
        <v>5106</v>
      </c>
      <c r="AL7" s="98">
        <f>851*SUM(Funcionários!AL12)</f>
        <v>6808</v>
      </c>
      <c r="AM7" s="98">
        <f>851*SUM(Funcionários!AM12)</f>
        <v>6808</v>
      </c>
      <c r="AN7" s="98">
        <f>851*SUM(Funcionários!AN12)</f>
        <v>6808</v>
      </c>
      <c r="AO7" s="98">
        <f>851*SUM(Funcionários!AO12)</f>
        <v>6808</v>
      </c>
      <c r="AP7" s="98">
        <f>851*SUM(Funcionários!AP12)</f>
        <v>6808</v>
      </c>
      <c r="AQ7" s="98">
        <f>851*SUM(Funcionários!AQ12)</f>
        <v>6808</v>
      </c>
      <c r="AR7" s="98">
        <f>851*SUM(Funcionários!AR12)</f>
        <v>6808</v>
      </c>
      <c r="AS7" s="98">
        <f>851*SUM(Funcionários!AS12)</f>
        <v>6808</v>
      </c>
      <c r="AT7" s="98">
        <f>851*SUM(Funcionários!AT12)</f>
        <v>6808</v>
      </c>
      <c r="AU7" s="98">
        <f>851*SUM(Funcionários!AU12)</f>
        <v>6808</v>
      </c>
      <c r="AV7" s="98">
        <f>851*SUM(Funcionários!AV12)</f>
        <v>6808</v>
      </c>
      <c r="AW7" s="98">
        <f>851*SUM(Funcionários!AW12)</f>
        <v>6808</v>
      </c>
      <c r="AX7" s="98">
        <f>851*SUM(Funcionários!AX12)</f>
        <v>8510</v>
      </c>
      <c r="AY7" s="98">
        <f>851*SUM(Funcionários!AY12)</f>
        <v>8510</v>
      </c>
      <c r="AZ7" s="98">
        <f>851*SUM(Funcionários!AZ12)</f>
        <v>8510</v>
      </c>
      <c r="BA7" s="98">
        <f>851*SUM(Funcionários!BA12)</f>
        <v>8510</v>
      </c>
      <c r="BB7" s="98">
        <f>851*SUM(Funcionários!BB12)</f>
        <v>8510</v>
      </c>
      <c r="BC7" s="98">
        <f>851*SUM(Funcionários!BC12)</f>
        <v>8510</v>
      </c>
      <c r="BD7" s="98">
        <f>851*SUM(Funcionários!BD12)</f>
        <v>8510</v>
      </c>
      <c r="BE7" s="98">
        <f>851*SUM(Funcionários!BE12)</f>
        <v>8510</v>
      </c>
      <c r="BF7" s="98">
        <f>851*SUM(Funcionários!BF12)</f>
        <v>8510</v>
      </c>
      <c r="BG7" s="98">
        <f>851*SUM(Funcionários!BG12)</f>
        <v>8510</v>
      </c>
      <c r="BH7" s="98">
        <f>851*SUM(Funcionários!BH12)</f>
        <v>8510</v>
      </c>
      <c r="BI7" s="98">
        <f>851*SUM(Funcionários!BI12)</f>
        <v>8510</v>
      </c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21"/>
      <c r="CL7" s="55"/>
    </row>
    <row r="8" spans="1:90" s="22" customFormat="1">
      <c r="A8" s="33" t="s">
        <v>194</v>
      </c>
      <c r="B8" s="98">
        <f>0.4*SUM(Receita!B7:B9)</f>
        <v>20328</v>
      </c>
      <c r="C8" s="98">
        <f>0.4*SUM(Receita!C7:C9)</f>
        <v>20328</v>
      </c>
      <c r="D8" s="98">
        <f>0.4*SUM(Receita!D7:D9)</f>
        <v>20328</v>
      </c>
      <c r="E8" s="98">
        <f>0.4*SUM(Receita!E7:E9)</f>
        <v>20328</v>
      </c>
      <c r="F8" s="98">
        <f>0.4*SUM(Receita!F7:F9)</f>
        <v>20328</v>
      </c>
      <c r="G8" s="98">
        <f>0.4*SUM(Receita!G7:G9)</f>
        <v>20328</v>
      </c>
      <c r="H8" s="98">
        <f>0.4*SUM(Receita!H7:H9)</f>
        <v>20328</v>
      </c>
      <c r="I8" s="98">
        <f>0.4*SUM(Receita!I7:I9)</f>
        <v>20328</v>
      </c>
      <c r="J8" s="98">
        <f>0.4*SUM(Receita!J7:J9)</f>
        <v>20328</v>
      </c>
      <c r="K8" s="98">
        <f>0.4*SUM(Receita!K7:K9)</f>
        <v>20328</v>
      </c>
      <c r="L8" s="98">
        <f>0.4*SUM(Receita!L7:L9)</f>
        <v>20328</v>
      </c>
      <c r="M8" s="98">
        <f>0.4*SUM(Receita!M7:M9)</f>
        <v>20328</v>
      </c>
      <c r="N8" s="98">
        <f>0.4*SUM(Receita!N7:N9)</f>
        <v>54208</v>
      </c>
      <c r="O8" s="98">
        <f>0.4*SUM(Receita!O7:O9)</f>
        <v>54208</v>
      </c>
      <c r="P8" s="98">
        <f>0.4*SUM(Receita!P7:P9)</f>
        <v>54208</v>
      </c>
      <c r="Q8" s="98">
        <f>0.4*SUM(Receita!Q7:Q9)</f>
        <v>54208</v>
      </c>
      <c r="R8" s="98">
        <f>0.4*SUM(Receita!R7:R9)</f>
        <v>54208</v>
      </c>
      <c r="S8" s="98">
        <f>0.4*SUM(Receita!S7:S9)</f>
        <v>54208</v>
      </c>
      <c r="T8" s="98">
        <f>0.4*SUM(Receita!T7:T9)</f>
        <v>54208</v>
      </c>
      <c r="U8" s="98">
        <f>0.4*SUM(Receita!U7:U9)</f>
        <v>54208</v>
      </c>
      <c r="V8" s="98">
        <f>0.4*SUM(Receita!V7:V9)</f>
        <v>54208</v>
      </c>
      <c r="W8" s="98">
        <f>0.4*SUM(Receita!W7:W9)</f>
        <v>54208</v>
      </c>
      <c r="X8" s="98">
        <f>0.4*SUM(Receita!X7:X9)</f>
        <v>54208</v>
      </c>
      <c r="Y8" s="98">
        <f>0.4*SUM(Receita!Y7:Y9)</f>
        <v>54208</v>
      </c>
      <c r="Z8" s="98">
        <f>0.2*SUM(Receita!Z7:Z9)</f>
        <v>50820</v>
      </c>
      <c r="AA8" s="98">
        <f>0.2*SUM(Receita!AA7:AA9)</f>
        <v>50820</v>
      </c>
      <c r="AB8" s="98">
        <f>0.2*SUM(Receita!AB7:AB9)</f>
        <v>50820</v>
      </c>
      <c r="AC8" s="98">
        <f>0.2*SUM(Receita!AC7:AC9)</f>
        <v>50820</v>
      </c>
      <c r="AD8" s="98">
        <f>0.2*SUM(Receita!AD7:AD9)</f>
        <v>50820</v>
      </c>
      <c r="AE8" s="98">
        <f>0.2*SUM(Receita!AE7:AE9)</f>
        <v>50820</v>
      </c>
      <c r="AF8" s="98">
        <f>0.2*SUM(Receita!AF7:AF9)</f>
        <v>50820</v>
      </c>
      <c r="AG8" s="98">
        <f>0.2*SUM(Receita!AG7:AG9)</f>
        <v>50820</v>
      </c>
      <c r="AH8" s="98">
        <f>0.2*SUM(Receita!AH7:AH9)</f>
        <v>50820</v>
      </c>
      <c r="AI8" s="98">
        <f>0.2*SUM(Receita!AI7:AI9)</f>
        <v>50820</v>
      </c>
      <c r="AJ8" s="98">
        <f>0.2*SUM(Receita!AJ7:AJ9)</f>
        <v>50820</v>
      </c>
      <c r="AK8" s="98">
        <f>0.2*SUM(Receita!AK7:AK9)</f>
        <v>50820</v>
      </c>
      <c r="AL8" s="98">
        <f>0.2*SUM(Receita!AL7:AL9)</f>
        <v>81312</v>
      </c>
      <c r="AM8" s="98">
        <f>0.2*SUM(Receita!AM7:AM9)</f>
        <v>81312</v>
      </c>
      <c r="AN8" s="98">
        <f>0.2*SUM(Receita!AN7:AN9)</f>
        <v>81312</v>
      </c>
      <c r="AO8" s="98">
        <f>0.2*SUM(Receita!AO7:AO9)</f>
        <v>81312</v>
      </c>
      <c r="AP8" s="98">
        <f>0.2*SUM(Receita!AP7:AP9)</f>
        <v>81312</v>
      </c>
      <c r="AQ8" s="98">
        <f>0.2*SUM(Receita!AQ7:AQ9)</f>
        <v>81312</v>
      </c>
      <c r="AR8" s="98">
        <f>0.2*SUM(Receita!AR7:AR9)</f>
        <v>81312</v>
      </c>
      <c r="AS8" s="98">
        <f>0.2*SUM(Receita!AS7:AS9)</f>
        <v>81312</v>
      </c>
      <c r="AT8" s="98">
        <f>0.2*SUM(Receita!AT7:AT9)</f>
        <v>81312</v>
      </c>
      <c r="AU8" s="98">
        <f>0.2*SUM(Receita!AU7:AU9)</f>
        <v>81312</v>
      </c>
      <c r="AV8" s="98">
        <f>0.2*SUM(Receita!AV7:AV9)</f>
        <v>81312</v>
      </c>
      <c r="AW8" s="98">
        <f>0.2*SUM(Receita!AW7:AW9)</f>
        <v>81312</v>
      </c>
      <c r="AX8" s="98">
        <f>0.2*SUM(Receita!AX7:AX9)</f>
        <v>108416</v>
      </c>
      <c r="AY8" s="98">
        <f>0.2*SUM(Receita!AY7:AY9)</f>
        <v>108416</v>
      </c>
      <c r="AZ8" s="98">
        <f>0.2*SUM(Receita!AZ7:AZ9)</f>
        <v>108416</v>
      </c>
      <c r="BA8" s="98">
        <f>0.2*SUM(Receita!BA7:BA9)</f>
        <v>108416</v>
      </c>
      <c r="BB8" s="98">
        <f>0.2*SUM(Receita!BB7:BB9)</f>
        <v>108416</v>
      </c>
      <c r="BC8" s="98">
        <f>0.2*SUM(Receita!BC7:BC9)</f>
        <v>108416</v>
      </c>
      <c r="BD8" s="98">
        <f>0.2*SUM(Receita!BD7:BD9)</f>
        <v>108416</v>
      </c>
      <c r="BE8" s="98">
        <f>0.2*SUM(Receita!BE7:BE9)</f>
        <v>108416</v>
      </c>
      <c r="BF8" s="98">
        <f>0.2*SUM(Receita!BF7:BF9)</f>
        <v>108416</v>
      </c>
      <c r="BG8" s="98">
        <f>0.2*SUM(Receita!BG7:BG9)</f>
        <v>108416</v>
      </c>
      <c r="BH8" s="98">
        <f>0.2*SUM(Receita!BH7:BH9)</f>
        <v>108416</v>
      </c>
      <c r="BI8" s="98">
        <f>0.2*SUM(Receita!BI7:BI9)</f>
        <v>108416</v>
      </c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21"/>
      <c r="CL8" s="55"/>
    </row>
    <row r="9" spans="1:90" s="22" customFormat="1">
      <c r="A9" s="33" t="s">
        <v>136</v>
      </c>
      <c r="B9" s="98">
        <v>4000</v>
      </c>
      <c r="C9" s="98">
        <v>4000</v>
      </c>
      <c r="D9" s="98">
        <v>4000</v>
      </c>
      <c r="E9" s="98">
        <v>4000</v>
      </c>
      <c r="F9" s="98">
        <v>4000</v>
      </c>
      <c r="G9" s="98">
        <v>4000</v>
      </c>
      <c r="H9" s="98">
        <v>4000</v>
      </c>
      <c r="I9" s="98">
        <v>4000</v>
      </c>
      <c r="J9" s="98">
        <v>4000</v>
      </c>
      <c r="K9" s="98">
        <v>4000</v>
      </c>
      <c r="L9" s="98">
        <v>4000</v>
      </c>
      <c r="M9" s="98">
        <v>4000</v>
      </c>
      <c r="N9" s="98">
        <v>6000</v>
      </c>
      <c r="O9" s="98">
        <v>6000</v>
      </c>
      <c r="P9" s="98">
        <v>6000</v>
      </c>
      <c r="Q9" s="98">
        <v>6000</v>
      </c>
      <c r="R9" s="98">
        <v>6000</v>
      </c>
      <c r="S9" s="98">
        <v>6000</v>
      </c>
      <c r="T9" s="98">
        <v>6000</v>
      </c>
      <c r="U9" s="98">
        <v>6000</v>
      </c>
      <c r="V9" s="98">
        <v>6000</v>
      </c>
      <c r="W9" s="98">
        <v>6000</v>
      </c>
      <c r="X9" s="98">
        <v>6000</v>
      </c>
      <c r="Y9" s="98">
        <v>6000</v>
      </c>
      <c r="Z9" s="98">
        <v>8000</v>
      </c>
      <c r="AA9" s="98">
        <v>8000</v>
      </c>
      <c r="AB9" s="98">
        <v>8000</v>
      </c>
      <c r="AC9" s="98">
        <v>8000</v>
      </c>
      <c r="AD9" s="98">
        <v>8000</v>
      </c>
      <c r="AE9" s="98">
        <v>8000</v>
      </c>
      <c r="AF9" s="98">
        <v>8000</v>
      </c>
      <c r="AG9" s="98">
        <v>8000</v>
      </c>
      <c r="AH9" s="98">
        <v>8000</v>
      </c>
      <c r="AI9" s="98">
        <v>8000</v>
      </c>
      <c r="AJ9" s="98">
        <v>8000</v>
      </c>
      <c r="AK9" s="98">
        <v>8000</v>
      </c>
      <c r="AL9" s="98">
        <v>10000</v>
      </c>
      <c r="AM9" s="98">
        <v>10000</v>
      </c>
      <c r="AN9" s="98">
        <v>10000</v>
      </c>
      <c r="AO9" s="98">
        <v>10000</v>
      </c>
      <c r="AP9" s="98">
        <v>10000</v>
      </c>
      <c r="AQ9" s="98">
        <v>10000</v>
      </c>
      <c r="AR9" s="98">
        <v>10000</v>
      </c>
      <c r="AS9" s="98">
        <v>10000</v>
      </c>
      <c r="AT9" s="98">
        <v>10000</v>
      </c>
      <c r="AU9" s="98">
        <v>10000</v>
      </c>
      <c r="AV9" s="98">
        <v>12000</v>
      </c>
      <c r="AW9" s="98">
        <v>12000</v>
      </c>
      <c r="AX9" s="98">
        <v>12000</v>
      </c>
      <c r="AY9" s="98">
        <v>12000</v>
      </c>
      <c r="AZ9" s="98">
        <v>12000</v>
      </c>
      <c r="BA9" s="98">
        <v>12000</v>
      </c>
      <c r="BB9" s="98">
        <v>12000</v>
      </c>
      <c r="BC9" s="98">
        <v>12000</v>
      </c>
      <c r="BD9" s="98">
        <v>12000</v>
      </c>
      <c r="BE9" s="98">
        <v>12000</v>
      </c>
      <c r="BF9" s="98">
        <v>12000</v>
      </c>
      <c r="BG9" s="98">
        <v>12000</v>
      </c>
      <c r="BH9" s="98">
        <v>12000</v>
      </c>
      <c r="BI9" s="98">
        <v>12000</v>
      </c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21"/>
      <c r="CL9" s="55"/>
    </row>
    <row r="10" spans="1:90" s="22" customFormat="1">
      <c r="A10" s="33" t="s">
        <v>189</v>
      </c>
      <c r="B10" s="98">
        <v>2000</v>
      </c>
      <c r="C10" s="98">
        <v>2000</v>
      </c>
      <c r="D10" s="98">
        <v>2000</v>
      </c>
      <c r="E10" s="98">
        <v>2000</v>
      </c>
      <c r="F10" s="98">
        <v>2000</v>
      </c>
      <c r="G10" s="98">
        <v>2000</v>
      </c>
      <c r="H10" s="98">
        <v>2000</v>
      </c>
      <c r="I10" s="98">
        <v>2000</v>
      </c>
      <c r="J10" s="98">
        <v>2000</v>
      </c>
      <c r="K10" s="98">
        <v>2000</v>
      </c>
      <c r="L10" s="98">
        <v>2000</v>
      </c>
      <c r="M10" s="98">
        <v>2000</v>
      </c>
      <c r="N10" s="98">
        <v>3000</v>
      </c>
      <c r="O10" s="98">
        <v>3000</v>
      </c>
      <c r="P10" s="98">
        <v>3000</v>
      </c>
      <c r="Q10" s="98">
        <v>3000</v>
      </c>
      <c r="R10" s="98">
        <v>3000</v>
      </c>
      <c r="S10" s="98">
        <v>3000</v>
      </c>
      <c r="T10" s="98">
        <v>3000</v>
      </c>
      <c r="U10" s="98">
        <v>3000</v>
      </c>
      <c r="V10" s="98">
        <v>3000</v>
      </c>
      <c r="W10" s="98">
        <v>3000</v>
      </c>
      <c r="X10" s="98">
        <v>3000</v>
      </c>
      <c r="Y10" s="98">
        <v>3000</v>
      </c>
      <c r="Z10" s="98">
        <v>6000</v>
      </c>
      <c r="AA10" s="98">
        <v>6000</v>
      </c>
      <c r="AB10" s="98">
        <v>6000</v>
      </c>
      <c r="AC10" s="98">
        <v>6000</v>
      </c>
      <c r="AD10" s="98">
        <v>6000</v>
      </c>
      <c r="AE10" s="98">
        <v>6000</v>
      </c>
      <c r="AF10" s="98">
        <v>6000</v>
      </c>
      <c r="AG10" s="98">
        <v>6000</v>
      </c>
      <c r="AH10" s="98">
        <v>6000</v>
      </c>
      <c r="AI10" s="98">
        <v>6000</v>
      </c>
      <c r="AJ10" s="98">
        <v>6000</v>
      </c>
      <c r="AK10" s="98">
        <v>6000</v>
      </c>
      <c r="AL10" s="98">
        <v>8000</v>
      </c>
      <c r="AM10" s="98">
        <v>8000</v>
      </c>
      <c r="AN10" s="98">
        <v>8000</v>
      </c>
      <c r="AO10" s="98">
        <v>8000</v>
      </c>
      <c r="AP10" s="98">
        <v>8000</v>
      </c>
      <c r="AQ10" s="98">
        <v>8000</v>
      </c>
      <c r="AR10" s="98">
        <v>8000</v>
      </c>
      <c r="AS10" s="98">
        <v>8000</v>
      </c>
      <c r="AT10" s="98">
        <v>8000</v>
      </c>
      <c r="AU10" s="98">
        <v>8000</v>
      </c>
      <c r="AV10" s="98">
        <v>11000</v>
      </c>
      <c r="AW10" s="98">
        <v>11000</v>
      </c>
      <c r="AX10" s="98">
        <v>11000</v>
      </c>
      <c r="AY10" s="98">
        <v>11000</v>
      </c>
      <c r="AZ10" s="98">
        <v>11000</v>
      </c>
      <c r="BA10" s="98">
        <v>11000</v>
      </c>
      <c r="BB10" s="98">
        <v>11000</v>
      </c>
      <c r="BC10" s="98">
        <v>11000</v>
      </c>
      <c r="BD10" s="98">
        <v>11000</v>
      </c>
      <c r="BE10" s="98">
        <v>11000</v>
      </c>
      <c r="BF10" s="98">
        <v>11000</v>
      </c>
      <c r="BG10" s="98">
        <v>11000</v>
      </c>
      <c r="BH10" s="98">
        <v>11000</v>
      </c>
      <c r="BI10" s="98">
        <v>11000</v>
      </c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21"/>
      <c r="CL10" s="55"/>
    </row>
    <row r="11" spans="1:90" ht="15.75" thickBot="1">
      <c r="A11" s="29" t="s">
        <v>25</v>
      </c>
      <c r="B11" s="99">
        <f t="shared" ref="B11:AG11" si="0">SUM(B5:B10)</f>
        <v>83030</v>
      </c>
      <c r="C11" s="99">
        <f t="shared" si="0"/>
        <v>33030</v>
      </c>
      <c r="D11" s="99">
        <f t="shared" si="0"/>
        <v>83030</v>
      </c>
      <c r="E11" s="99">
        <f t="shared" si="0"/>
        <v>33030</v>
      </c>
      <c r="F11" s="99">
        <f t="shared" si="0"/>
        <v>83030</v>
      </c>
      <c r="G11" s="99">
        <f t="shared" si="0"/>
        <v>33030</v>
      </c>
      <c r="H11" s="99">
        <f t="shared" si="0"/>
        <v>33030</v>
      </c>
      <c r="I11" s="99">
        <f t="shared" si="0"/>
        <v>83030</v>
      </c>
      <c r="J11" s="99">
        <f t="shared" si="0"/>
        <v>33030</v>
      </c>
      <c r="K11" s="99">
        <f t="shared" si="0"/>
        <v>33030</v>
      </c>
      <c r="L11" s="99">
        <f t="shared" si="0"/>
        <v>33030</v>
      </c>
      <c r="M11" s="99">
        <f t="shared" si="0"/>
        <v>33030</v>
      </c>
      <c r="N11" s="99">
        <f t="shared" si="0"/>
        <v>126612</v>
      </c>
      <c r="O11" s="99">
        <f t="shared" si="0"/>
        <v>76612</v>
      </c>
      <c r="P11" s="99">
        <f t="shared" si="0"/>
        <v>76612</v>
      </c>
      <c r="Q11" s="99">
        <f t="shared" si="0"/>
        <v>76612</v>
      </c>
      <c r="R11" s="99">
        <f t="shared" si="0"/>
        <v>76612</v>
      </c>
      <c r="S11" s="99">
        <f t="shared" si="0"/>
        <v>76612</v>
      </c>
      <c r="T11" s="99">
        <f t="shared" si="0"/>
        <v>76612</v>
      </c>
      <c r="U11" s="99">
        <f t="shared" si="0"/>
        <v>76612</v>
      </c>
      <c r="V11" s="99">
        <f t="shared" si="0"/>
        <v>76612</v>
      </c>
      <c r="W11" s="99">
        <f t="shared" si="0"/>
        <v>76612</v>
      </c>
      <c r="X11" s="99">
        <f t="shared" si="0"/>
        <v>76612</v>
      </c>
      <c r="Y11" s="99">
        <f t="shared" si="0"/>
        <v>76612</v>
      </c>
      <c r="Z11" s="99">
        <f t="shared" si="0"/>
        <v>129926</v>
      </c>
      <c r="AA11" s="99">
        <f t="shared" si="0"/>
        <v>79926</v>
      </c>
      <c r="AB11" s="99">
        <f t="shared" si="0"/>
        <v>79926</v>
      </c>
      <c r="AC11" s="99">
        <f t="shared" si="0"/>
        <v>79926</v>
      </c>
      <c r="AD11" s="99">
        <f t="shared" si="0"/>
        <v>79926</v>
      </c>
      <c r="AE11" s="99">
        <f t="shared" si="0"/>
        <v>79926</v>
      </c>
      <c r="AF11" s="99">
        <f t="shared" si="0"/>
        <v>79926</v>
      </c>
      <c r="AG11" s="99">
        <f t="shared" si="0"/>
        <v>79926</v>
      </c>
      <c r="AH11" s="99">
        <f t="shared" ref="AH11:BI11" si="1">SUM(AH5:AH10)</f>
        <v>79926</v>
      </c>
      <c r="AI11" s="99">
        <f t="shared" si="1"/>
        <v>79926</v>
      </c>
      <c r="AJ11" s="99">
        <f t="shared" si="1"/>
        <v>79926</v>
      </c>
      <c r="AK11" s="99">
        <f t="shared" si="1"/>
        <v>79926</v>
      </c>
      <c r="AL11" s="99">
        <f t="shared" si="1"/>
        <v>166120</v>
      </c>
      <c r="AM11" s="99">
        <f t="shared" si="1"/>
        <v>116120</v>
      </c>
      <c r="AN11" s="99">
        <f t="shared" si="1"/>
        <v>116120</v>
      </c>
      <c r="AO11" s="99">
        <f t="shared" si="1"/>
        <v>116120</v>
      </c>
      <c r="AP11" s="99">
        <f t="shared" si="1"/>
        <v>116120</v>
      </c>
      <c r="AQ11" s="99">
        <f t="shared" si="1"/>
        <v>116120</v>
      </c>
      <c r="AR11" s="99">
        <f t="shared" si="1"/>
        <v>116120</v>
      </c>
      <c r="AS11" s="99">
        <f t="shared" si="1"/>
        <v>116120</v>
      </c>
      <c r="AT11" s="99">
        <f t="shared" si="1"/>
        <v>116120</v>
      </c>
      <c r="AU11" s="99">
        <f t="shared" si="1"/>
        <v>116120</v>
      </c>
      <c r="AV11" s="99">
        <f t="shared" si="1"/>
        <v>121120</v>
      </c>
      <c r="AW11" s="99">
        <f t="shared" si="1"/>
        <v>121120</v>
      </c>
      <c r="AX11" s="99">
        <f t="shared" si="1"/>
        <v>199926</v>
      </c>
      <c r="AY11" s="99">
        <f t="shared" si="1"/>
        <v>149926</v>
      </c>
      <c r="AZ11" s="99">
        <f t="shared" si="1"/>
        <v>149926</v>
      </c>
      <c r="BA11" s="99">
        <f t="shared" si="1"/>
        <v>149926</v>
      </c>
      <c r="BB11" s="99">
        <f t="shared" si="1"/>
        <v>149926</v>
      </c>
      <c r="BC11" s="99">
        <f t="shared" si="1"/>
        <v>149926</v>
      </c>
      <c r="BD11" s="99">
        <f t="shared" si="1"/>
        <v>149926</v>
      </c>
      <c r="BE11" s="99">
        <f t="shared" si="1"/>
        <v>149926</v>
      </c>
      <c r="BF11" s="99">
        <f t="shared" si="1"/>
        <v>149926</v>
      </c>
      <c r="BG11" s="99">
        <f t="shared" si="1"/>
        <v>149926</v>
      </c>
      <c r="BH11" s="99">
        <f t="shared" si="1"/>
        <v>149926</v>
      </c>
      <c r="BI11" s="99">
        <f t="shared" si="1"/>
        <v>149926</v>
      </c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21"/>
    </row>
    <row r="12" spans="1:90" ht="15.75" thickTop="1"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</row>
    <row r="13" spans="1:90"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</row>
    <row r="14" spans="1:90" ht="15.75">
      <c r="A14" s="167" t="s">
        <v>26</v>
      </c>
      <c r="B14" s="204" t="s">
        <v>93</v>
      </c>
      <c r="C14" s="205" t="s">
        <v>94</v>
      </c>
      <c r="D14" s="204" t="s">
        <v>95</v>
      </c>
      <c r="E14" s="204" t="s">
        <v>96</v>
      </c>
      <c r="F14" s="205" t="s">
        <v>97</v>
      </c>
    </row>
    <row r="15" spans="1:90">
      <c r="A15" s="33" t="s">
        <v>128</v>
      </c>
      <c r="B15" s="201">
        <f>SUM(B5:M5)</f>
        <v>200000</v>
      </c>
      <c r="C15" s="201">
        <f>SUM(N5:Y5)</f>
        <v>50000</v>
      </c>
      <c r="D15" s="201">
        <f>SUM(Z5:AK5)</f>
        <v>50000</v>
      </c>
      <c r="E15" s="201">
        <f>SUM(AL5:AW5)</f>
        <v>50000</v>
      </c>
      <c r="F15" s="201">
        <f>SUM(AX5:BI5)</f>
        <v>50000</v>
      </c>
    </row>
    <row r="16" spans="1:90">
      <c r="A16" s="33" t="s">
        <v>127</v>
      </c>
      <c r="B16" s="201">
        <f t="shared" ref="B16:B20" si="2">SUM(B6:M6)</f>
        <v>60000</v>
      </c>
      <c r="C16" s="201">
        <f t="shared" ref="C16:C20" si="3">SUM(N6:Y6)</f>
        <v>120000</v>
      </c>
      <c r="D16" s="201">
        <f t="shared" ref="D16:D20" si="4">SUM(Z6:AK6)</f>
        <v>120000</v>
      </c>
      <c r="E16" s="201">
        <f t="shared" ref="E16:E20" si="5">SUM(AL6:AW6)</f>
        <v>120000</v>
      </c>
      <c r="F16" s="201">
        <f t="shared" ref="F16:F20" si="6">SUM(AX6:BI6)</f>
        <v>120000</v>
      </c>
    </row>
    <row r="17" spans="1:8">
      <c r="A17" s="33" t="s">
        <v>193</v>
      </c>
      <c r="B17" s="201">
        <f t="shared" si="2"/>
        <v>20424</v>
      </c>
      <c r="C17" s="201">
        <f t="shared" si="3"/>
        <v>40848</v>
      </c>
      <c r="D17" s="201">
        <f t="shared" si="4"/>
        <v>61272</v>
      </c>
      <c r="E17" s="201">
        <f t="shared" si="5"/>
        <v>81696</v>
      </c>
      <c r="F17" s="201">
        <f t="shared" si="6"/>
        <v>102120</v>
      </c>
    </row>
    <row r="18" spans="1:8">
      <c r="A18" s="33" t="s">
        <v>194</v>
      </c>
      <c r="B18" s="201">
        <f t="shared" si="2"/>
        <v>243936</v>
      </c>
      <c r="C18" s="201">
        <f t="shared" si="3"/>
        <v>650496</v>
      </c>
      <c r="D18" s="201">
        <f t="shared" si="4"/>
        <v>609840</v>
      </c>
      <c r="E18" s="201">
        <f t="shared" si="5"/>
        <v>975744</v>
      </c>
      <c r="F18" s="201">
        <f t="shared" si="6"/>
        <v>1300992</v>
      </c>
    </row>
    <row r="19" spans="1:8">
      <c r="A19" s="33" t="s">
        <v>136</v>
      </c>
      <c r="B19" s="201">
        <f t="shared" si="2"/>
        <v>48000</v>
      </c>
      <c r="C19" s="201">
        <f t="shared" si="3"/>
        <v>72000</v>
      </c>
      <c r="D19" s="201">
        <f t="shared" si="4"/>
        <v>96000</v>
      </c>
      <c r="E19" s="201">
        <f t="shared" si="5"/>
        <v>124000</v>
      </c>
      <c r="F19" s="201">
        <f t="shared" si="6"/>
        <v>144000</v>
      </c>
    </row>
    <row r="20" spans="1:8">
      <c r="A20" s="33" t="s">
        <v>189</v>
      </c>
      <c r="B20" s="201">
        <f t="shared" si="2"/>
        <v>24000</v>
      </c>
      <c r="C20" s="201">
        <f t="shared" si="3"/>
        <v>36000</v>
      </c>
      <c r="D20" s="201">
        <f t="shared" si="4"/>
        <v>72000</v>
      </c>
      <c r="E20" s="201">
        <f t="shared" si="5"/>
        <v>102000</v>
      </c>
      <c r="F20" s="201">
        <f t="shared" si="6"/>
        <v>132000</v>
      </c>
      <c r="H20" s="183"/>
    </row>
    <row r="21" spans="1:8">
      <c r="A21" s="206" t="s">
        <v>25</v>
      </c>
      <c r="B21" s="207">
        <f>SUM(B15:B20)</f>
        <v>596360</v>
      </c>
      <c r="C21" s="207">
        <f t="shared" ref="C21:F21" si="7">SUM(C15:C20)</f>
        <v>969344</v>
      </c>
      <c r="D21" s="207">
        <f t="shared" si="7"/>
        <v>1009112</v>
      </c>
      <c r="E21" s="207">
        <f t="shared" si="7"/>
        <v>1453440</v>
      </c>
      <c r="F21" s="207">
        <f t="shared" si="7"/>
        <v>1849112</v>
      </c>
      <c r="H21" s="193"/>
    </row>
  </sheetData>
  <pageMargins left="0.7" right="0.7" top="0.75" bottom="0.75" header="0.3" footer="0.3"/>
  <pageSetup paperSize="9" orientation="portrait" r:id="rId1"/>
  <ignoredErrors>
    <ignoredError sqref="B15:F15" formulaRange="1"/>
  </ignoredErrors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X47"/>
  <sheetViews>
    <sheetView topLeftCell="A49" zoomScaleNormal="100" workbookViewId="0">
      <pane xSplit="1" topLeftCell="B1" activePane="topRight" state="frozen"/>
      <selection activeCell="A30" sqref="A30"/>
      <selection pane="topRight" activeCell="G47" sqref="G47"/>
    </sheetView>
  </sheetViews>
  <sheetFormatPr defaultColWidth="8.85546875" defaultRowHeight="12"/>
  <cols>
    <col min="1" max="1" width="56.5703125" style="105" customWidth="1"/>
    <col min="2" max="6" width="13.85546875" style="105" bestFit="1" customWidth="1"/>
    <col min="7" max="37" width="12.7109375" style="105" bestFit="1" customWidth="1"/>
    <col min="38" max="49" width="12.7109375" style="106" bestFit="1" customWidth="1"/>
    <col min="50" max="61" width="12.7109375" style="107" bestFit="1" customWidth="1"/>
    <col min="62" max="62" width="14" style="107" customWidth="1"/>
    <col min="63" max="63" width="11" style="107" bestFit="1" customWidth="1"/>
    <col min="64" max="72" width="8.85546875" style="107"/>
    <col min="73" max="73" width="12.140625" style="107" customWidth="1"/>
    <col min="74" max="75" width="11" style="107" bestFit="1" customWidth="1"/>
    <col min="76" max="84" width="8.85546875" style="107"/>
    <col min="85" max="85" width="13.85546875" style="107" customWidth="1"/>
    <col min="86" max="16384" width="8.85546875" style="107"/>
  </cols>
  <sheetData>
    <row r="1" spans="1:85" s="103" customFormat="1" ht="20.25">
      <c r="A1" s="100" t="s">
        <v>77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</row>
    <row r="2" spans="1:85" s="103" customFormat="1">
      <c r="A2" s="104" t="str">
        <f>CONCATENATE(Company, " : ",start, " -  ",end)</f>
        <v>Crush : Mês 1 -  Mês 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</row>
    <row r="3" spans="1:85" s="103" customFormat="1">
      <c r="A3" s="104" t="str">
        <f>CONCATENATE("Valores em ",currency)</f>
        <v>Valores em R$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</row>
    <row r="4" spans="1:85" ht="12.75" thickBot="1"/>
    <row r="5" spans="1:85" s="112" customFormat="1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10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</row>
    <row r="6" spans="1:85" s="111" customFormat="1" ht="12.75" thickBot="1">
      <c r="A6" s="113"/>
      <c r="B6" s="114" t="s">
        <v>58</v>
      </c>
      <c r="C6" s="115" t="s">
        <v>59</v>
      </c>
      <c r="D6" s="115" t="s">
        <v>60</v>
      </c>
      <c r="E6" s="115" t="s">
        <v>61</v>
      </c>
      <c r="F6" s="115" t="s">
        <v>62</v>
      </c>
      <c r="G6" s="115" t="s">
        <v>63</v>
      </c>
      <c r="H6" s="115" t="s">
        <v>64</v>
      </c>
      <c r="I6" s="115" t="s">
        <v>65</v>
      </c>
      <c r="J6" s="115" t="s">
        <v>73</v>
      </c>
      <c r="K6" s="115" t="s">
        <v>74</v>
      </c>
      <c r="L6" s="115" t="s">
        <v>71</v>
      </c>
      <c r="M6" s="115" t="s">
        <v>72</v>
      </c>
      <c r="N6" s="115" t="s">
        <v>0</v>
      </c>
      <c r="O6" s="115" t="s">
        <v>1</v>
      </c>
      <c r="P6" s="115" t="s">
        <v>2</v>
      </c>
      <c r="Q6" s="115" t="s">
        <v>3</v>
      </c>
      <c r="R6" s="115" t="s">
        <v>4</v>
      </c>
      <c r="S6" s="115" t="s">
        <v>5</v>
      </c>
      <c r="T6" s="115" t="s">
        <v>6</v>
      </c>
      <c r="U6" s="115" t="s">
        <v>7</v>
      </c>
      <c r="V6" s="115" t="s">
        <v>8</v>
      </c>
      <c r="W6" s="115" t="s">
        <v>9</v>
      </c>
      <c r="X6" s="115" t="s">
        <v>10</v>
      </c>
      <c r="Y6" s="115" t="s">
        <v>11</v>
      </c>
      <c r="Z6" s="115" t="s">
        <v>12</v>
      </c>
      <c r="AA6" s="115" t="s">
        <v>13</v>
      </c>
      <c r="AB6" s="115" t="s">
        <v>14</v>
      </c>
      <c r="AC6" s="115" t="s">
        <v>15</v>
      </c>
      <c r="AD6" s="115" t="s">
        <v>16</v>
      </c>
      <c r="AE6" s="115" t="s">
        <v>17</v>
      </c>
      <c r="AF6" s="115" t="s">
        <v>18</v>
      </c>
      <c r="AG6" s="115" t="s">
        <v>19</v>
      </c>
      <c r="AH6" s="115" t="s">
        <v>20</v>
      </c>
      <c r="AI6" s="115" t="s">
        <v>21</v>
      </c>
      <c r="AJ6" s="115" t="s">
        <v>82</v>
      </c>
      <c r="AK6" s="115" t="s">
        <v>83</v>
      </c>
      <c r="AL6" s="115" t="s">
        <v>84</v>
      </c>
      <c r="AM6" s="115" t="s">
        <v>29</v>
      </c>
      <c r="AN6" s="115" t="s">
        <v>30</v>
      </c>
      <c r="AO6" s="115" t="s">
        <v>31</v>
      </c>
      <c r="AP6" s="115" t="s">
        <v>32</v>
      </c>
      <c r="AQ6" s="115" t="s">
        <v>33</v>
      </c>
      <c r="AR6" s="115" t="s">
        <v>34</v>
      </c>
      <c r="AS6" s="115" t="s">
        <v>35</v>
      </c>
      <c r="AT6" s="115" t="s">
        <v>36</v>
      </c>
      <c r="AU6" s="115" t="s">
        <v>37</v>
      </c>
      <c r="AV6" s="115" t="s">
        <v>38</v>
      </c>
      <c r="AW6" s="115" t="s">
        <v>39</v>
      </c>
      <c r="AX6" s="115" t="s">
        <v>40</v>
      </c>
      <c r="AY6" s="115" t="s">
        <v>41</v>
      </c>
      <c r="AZ6" s="115" t="s">
        <v>42</v>
      </c>
      <c r="BA6" s="115" t="s">
        <v>43</v>
      </c>
      <c r="BB6" s="115" t="s">
        <v>44</v>
      </c>
      <c r="BC6" s="115" t="s">
        <v>45</v>
      </c>
      <c r="BD6" s="115" t="s">
        <v>46</v>
      </c>
      <c r="BE6" s="115" t="s">
        <v>47</v>
      </c>
      <c r="BF6" s="115" t="s">
        <v>48</v>
      </c>
      <c r="BG6" s="115" t="s">
        <v>49</v>
      </c>
      <c r="BH6" s="115" t="s">
        <v>75</v>
      </c>
      <c r="BI6" s="116" t="s">
        <v>76</v>
      </c>
    </row>
    <row r="7" spans="1:85">
      <c r="A7" s="117" t="s">
        <v>78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</row>
    <row r="8" spans="1:85">
      <c r="A8" s="120" t="s">
        <v>102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2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</row>
    <row r="9" spans="1:85">
      <c r="A9" s="124" t="s">
        <v>195</v>
      </c>
      <c r="B9" s="138">
        <v>1</v>
      </c>
      <c r="C9" s="138">
        <v>1</v>
      </c>
      <c r="D9" s="138">
        <v>1</v>
      </c>
      <c r="E9" s="138">
        <v>1</v>
      </c>
      <c r="F9" s="138">
        <v>1</v>
      </c>
      <c r="G9" s="138">
        <v>1</v>
      </c>
      <c r="H9" s="138">
        <v>1</v>
      </c>
      <c r="I9" s="138">
        <v>1</v>
      </c>
      <c r="J9" s="138">
        <v>1</v>
      </c>
      <c r="K9" s="138">
        <v>1</v>
      </c>
      <c r="L9" s="138">
        <v>1</v>
      </c>
      <c r="M9" s="138">
        <v>1</v>
      </c>
      <c r="N9" s="138">
        <v>1</v>
      </c>
      <c r="O9" s="138">
        <v>1</v>
      </c>
      <c r="P9" s="138">
        <v>1</v>
      </c>
      <c r="Q9" s="138">
        <v>1</v>
      </c>
      <c r="R9" s="138">
        <v>1</v>
      </c>
      <c r="S9" s="138">
        <v>1</v>
      </c>
      <c r="T9" s="138">
        <v>1</v>
      </c>
      <c r="U9" s="138">
        <v>1</v>
      </c>
      <c r="V9" s="138">
        <v>1</v>
      </c>
      <c r="W9" s="138">
        <v>1</v>
      </c>
      <c r="X9" s="138">
        <v>1</v>
      </c>
      <c r="Y9" s="138">
        <v>1</v>
      </c>
      <c r="Z9" s="138">
        <v>1</v>
      </c>
      <c r="AA9" s="138">
        <v>1</v>
      </c>
      <c r="AB9" s="138">
        <v>1</v>
      </c>
      <c r="AC9" s="138">
        <v>1</v>
      </c>
      <c r="AD9" s="138">
        <v>1</v>
      </c>
      <c r="AE9" s="138">
        <v>1</v>
      </c>
      <c r="AF9" s="138">
        <v>1</v>
      </c>
      <c r="AG9" s="138">
        <v>1</v>
      </c>
      <c r="AH9" s="138">
        <v>1</v>
      </c>
      <c r="AI9" s="138">
        <v>1</v>
      </c>
      <c r="AJ9" s="138">
        <v>1</v>
      </c>
      <c r="AK9" s="138">
        <v>1</v>
      </c>
      <c r="AL9" s="138">
        <v>1</v>
      </c>
      <c r="AM9" s="138">
        <v>1</v>
      </c>
      <c r="AN9" s="138">
        <v>1</v>
      </c>
      <c r="AO9" s="138">
        <v>1</v>
      </c>
      <c r="AP9" s="138">
        <v>1</v>
      </c>
      <c r="AQ9" s="138">
        <v>1</v>
      </c>
      <c r="AR9" s="138">
        <v>1</v>
      </c>
      <c r="AS9" s="138">
        <v>1</v>
      </c>
      <c r="AT9" s="138">
        <v>1</v>
      </c>
      <c r="AU9" s="138">
        <v>1</v>
      </c>
      <c r="AV9" s="138">
        <v>1</v>
      </c>
      <c r="AW9" s="138">
        <v>1</v>
      </c>
      <c r="AX9" s="138">
        <v>1</v>
      </c>
      <c r="AY9" s="138">
        <v>1</v>
      </c>
      <c r="AZ9" s="138">
        <v>1</v>
      </c>
      <c r="BA9" s="138">
        <v>1</v>
      </c>
      <c r="BB9" s="138">
        <v>1</v>
      </c>
      <c r="BC9" s="138">
        <v>1</v>
      </c>
      <c r="BD9" s="138">
        <v>1</v>
      </c>
      <c r="BE9" s="138">
        <v>1</v>
      </c>
      <c r="BF9" s="138">
        <v>1</v>
      </c>
      <c r="BG9" s="138">
        <v>1</v>
      </c>
      <c r="BH9" s="138">
        <v>1</v>
      </c>
      <c r="BI9" s="138">
        <v>1</v>
      </c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</row>
    <row r="10" spans="1:85">
      <c r="A10" s="124" t="s">
        <v>131</v>
      </c>
      <c r="B10" s="138">
        <v>1</v>
      </c>
      <c r="C10" s="138">
        <v>1</v>
      </c>
      <c r="D10" s="138">
        <v>1</v>
      </c>
      <c r="E10" s="138">
        <v>1</v>
      </c>
      <c r="F10" s="138">
        <v>1</v>
      </c>
      <c r="G10" s="138">
        <v>1</v>
      </c>
      <c r="H10" s="138">
        <v>1</v>
      </c>
      <c r="I10" s="138">
        <v>1</v>
      </c>
      <c r="J10" s="138">
        <v>1</v>
      </c>
      <c r="K10" s="138">
        <v>1</v>
      </c>
      <c r="L10" s="138">
        <v>1</v>
      </c>
      <c r="M10" s="138">
        <v>1</v>
      </c>
      <c r="N10" s="138">
        <v>2</v>
      </c>
      <c r="O10" s="138">
        <v>2</v>
      </c>
      <c r="P10" s="138">
        <v>2</v>
      </c>
      <c r="Q10" s="138">
        <v>2</v>
      </c>
      <c r="R10" s="138">
        <v>2</v>
      </c>
      <c r="S10" s="138">
        <v>2</v>
      </c>
      <c r="T10" s="138">
        <v>2</v>
      </c>
      <c r="U10" s="138">
        <v>2</v>
      </c>
      <c r="V10" s="138">
        <v>2</v>
      </c>
      <c r="W10" s="138">
        <v>2</v>
      </c>
      <c r="X10" s="138">
        <v>2</v>
      </c>
      <c r="Y10" s="138">
        <v>2</v>
      </c>
      <c r="Z10" s="138">
        <v>3</v>
      </c>
      <c r="AA10" s="138">
        <v>3</v>
      </c>
      <c r="AB10" s="138">
        <v>3</v>
      </c>
      <c r="AC10" s="138">
        <v>3</v>
      </c>
      <c r="AD10" s="138">
        <v>3</v>
      </c>
      <c r="AE10" s="138">
        <v>3</v>
      </c>
      <c r="AF10" s="138">
        <v>3</v>
      </c>
      <c r="AG10" s="138">
        <v>3</v>
      </c>
      <c r="AH10" s="138">
        <v>3</v>
      </c>
      <c r="AI10" s="138">
        <v>3</v>
      </c>
      <c r="AJ10" s="138">
        <v>3</v>
      </c>
      <c r="AK10" s="138">
        <v>3</v>
      </c>
      <c r="AL10" s="138">
        <v>4</v>
      </c>
      <c r="AM10" s="138">
        <v>4</v>
      </c>
      <c r="AN10" s="138">
        <v>4</v>
      </c>
      <c r="AO10" s="138">
        <v>4</v>
      </c>
      <c r="AP10" s="138">
        <v>4</v>
      </c>
      <c r="AQ10" s="138">
        <v>4</v>
      </c>
      <c r="AR10" s="138">
        <v>4</v>
      </c>
      <c r="AS10" s="138">
        <v>4</v>
      </c>
      <c r="AT10" s="138">
        <v>4</v>
      </c>
      <c r="AU10" s="138">
        <v>4</v>
      </c>
      <c r="AV10" s="138">
        <v>4</v>
      </c>
      <c r="AW10" s="138">
        <v>4</v>
      </c>
      <c r="AX10" s="138">
        <v>5</v>
      </c>
      <c r="AY10" s="138">
        <v>5</v>
      </c>
      <c r="AZ10" s="138">
        <v>5</v>
      </c>
      <c r="BA10" s="138">
        <v>5</v>
      </c>
      <c r="BB10" s="138">
        <v>5</v>
      </c>
      <c r="BC10" s="138">
        <v>5</v>
      </c>
      <c r="BD10" s="138">
        <v>5</v>
      </c>
      <c r="BE10" s="138">
        <v>5</v>
      </c>
      <c r="BF10" s="138">
        <v>5</v>
      </c>
      <c r="BG10" s="138">
        <v>5</v>
      </c>
      <c r="BH10" s="138">
        <v>5</v>
      </c>
      <c r="BI10" s="138">
        <v>5</v>
      </c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</row>
    <row r="11" spans="1:85">
      <c r="A11" s="120" t="s">
        <v>101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</row>
    <row r="12" spans="1:85">
      <c r="A12" s="124" t="s">
        <v>180</v>
      </c>
      <c r="B12" s="138">
        <v>2</v>
      </c>
      <c r="C12" s="138">
        <v>2</v>
      </c>
      <c r="D12" s="138">
        <v>2</v>
      </c>
      <c r="E12" s="138">
        <v>2</v>
      </c>
      <c r="F12" s="138">
        <v>2</v>
      </c>
      <c r="G12" s="138">
        <v>2</v>
      </c>
      <c r="H12" s="138">
        <v>2</v>
      </c>
      <c r="I12" s="138">
        <v>2</v>
      </c>
      <c r="J12" s="138">
        <v>2</v>
      </c>
      <c r="K12" s="138">
        <v>2</v>
      </c>
      <c r="L12" s="138">
        <v>2</v>
      </c>
      <c r="M12" s="138">
        <v>2</v>
      </c>
      <c r="N12" s="138">
        <v>4</v>
      </c>
      <c r="O12" s="138">
        <v>4</v>
      </c>
      <c r="P12" s="138">
        <v>4</v>
      </c>
      <c r="Q12" s="138">
        <v>4</v>
      </c>
      <c r="R12" s="138">
        <v>4</v>
      </c>
      <c r="S12" s="138">
        <v>4</v>
      </c>
      <c r="T12" s="138">
        <v>4</v>
      </c>
      <c r="U12" s="138">
        <v>4</v>
      </c>
      <c r="V12" s="138">
        <v>4</v>
      </c>
      <c r="W12" s="138">
        <v>4</v>
      </c>
      <c r="X12" s="138">
        <v>4</v>
      </c>
      <c r="Y12" s="138">
        <v>4</v>
      </c>
      <c r="Z12" s="138">
        <v>6</v>
      </c>
      <c r="AA12" s="138">
        <v>6</v>
      </c>
      <c r="AB12" s="138">
        <v>6</v>
      </c>
      <c r="AC12" s="138">
        <v>6</v>
      </c>
      <c r="AD12" s="138">
        <v>6</v>
      </c>
      <c r="AE12" s="138">
        <v>6</v>
      </c>
      <c r="AF12" s="138">
        <v>6</v>
      </c>
      <c r="AG12" s="138">
        <v>6</v>
      </c>
      <c r="AH12" s="138">
        <v>6</v>
      </c>
      <c r="AI12" s="138">
        <v>6</v>
      </c>
      <c r="AJ12" s="138">
        <v>6</v>
      </c>
      <c r="AK12" s="138">
        <v>6</v>
      </c>
      <c r="AL12" s="138">
        <v>8</v>
      </c>
      <c r="AM12" s="138">
        <v>8</v>
      </c>
      <c r="AN12" s="138">
        <v>8</v>
      </c>
      <c r="AO12" s="138">
        <v>8</v>
      </c>
      <c r="AP12" s="138">
        <v>8</v>
      </c>
      <c r="AQ12" s="138">
        <v>8</v>
      </c>
      <c r="AR12" s="138">
        <v>8</v>
      </c>
      <c r="AS12" s="138">
        <v>8</v>
      </c>
      <c r="AT12" s="138">
        <v>8</v>
      </c>
      <c r="AU12" s="138">
        <v>8</v>
      </c>
      <c r="AV12" s="138">
        <v>8</v>
      </c>
      <c r="AW12" s="138">
        <v>8</v>
      </c>
      <c r="AX12" s="138">
        <v>10</v>
      </c>
      <c r="AY12" s="138">
        <v>10</v>
      </c>
      <c r="AZ12" s="138">
        <v>10</v>
      </c>
      <c r="BA12" s="138">
        <v>10</v>
      </c>
      <c r="BB12" s="138">
        <v>10</v>
      </c>
      <c r="BC12" s="138">
        <v>10</v>
      </c>
      <c r="BD12" s="138">
        <v>10</v>
      </c>
      <c r="BE12" s="138">
        <v>10</v>
      </c>
      <c r="BF12" s="138">
        <v>10</v>
      </c>
      <c r="BG12" s="138">
        <v>10</v>
      </c>
      <c r="BH12" s="138">
        <v>10</v>
      </c>
      <c r="BI12" s="138">
        <v>10</v>
      </c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</row>
    <row r="13" spans="1:85">
      <c r="A13" s="124" t="s">
        <v>179</v>
      </c>
      <c r="B13" s="137">
        <v>2</v>
      </c>
      <c r="C13" s="137">
        <f>B13</f>
        <v>2</v>
      </c>
      <c r="D13" s="137">
        <f t="shared" ref="D13:M13" si="0">C13</f>
        <v>2</v>
      </c>
      <c r="E13" s="137">
        <f t="shared" si="0"/>
        <v>2</v>
      </c>
      <c r="F13" s="137">
        <f t="shared" si="0"/>
        <v>2</v>
      </c>
      <c r="G13" s="137">
        <f t="shared" si="0"/>
        <v>2</v>
      </c>
      <c r="H13" s="137">
        <f t="shared" si="0"/>
        <v>2</v>
      </c>
      <c r="I13" s="137">
        <f t="shared" si="0"/>
        <v>2</v>
      </c>
      <c r="J13" s="137">
        <f t="shared" si="0"/>
        <v>2</v>
      </c>
      <c r="K13" s="137">
        <f t="shared" si="0"/>
        <v>2</v>
      </c>
      <c r="L13" s="137">
        <f t="shared" si="0"/>
        <v>2</v>
      </c>
      <c r="M13" s="137">
        <f t="shared" si="0"/>
        <v>2</v>
      </c>
      <c r="N13" s="137">
        <f>4</f>
        <v>4</v>
      </c>
      <c r="O13" s="137">
        <f>4</f>
        <v>4</v>
      </c>
      <c r="P13" s="137">
        <f>4</f>
        <v>4</v>
      </c>
      <c r="Q13" s="137">
        <f>4</f>
        <v>4</v>
      </c>
      <c r="R13" s="137">
        <f>4</f>
        <v>4</v>
      </c>
      <c r="S13" s="137">
        <f>4</f>
        <v>4</v>
      </c>
      <c r="T13" s="137">
        <f>4</f>
        <v>4</v>
      </c>
      <c r="U13" s="137">
        <f>4</f>
        <v>4</v>
      </c>
      <c r="V13" s="137">
        <f>4</f>
        <v>4</v>
      </c>
      <c r="W13" s="137">
        <f>4</f>
        <v>4</v>
      </c>
      <c r="X13" s="137">
        <f>4</f>
        <v>4</v>
      </c>
      <c r="Y13" s="137">
        <f>4</f>
        <v>4</v>
      </c>
      <c r="Z13" s="137">
        <f>6</f>
        <v>6</v>
      </c>
      <c r="AA13" s="137">
        <f>6</f>
        <v>6</v>
      </c>
      <c r="AB13" s="137">
        <f>6</f>
        <v>6</v>
      </c>
      <c r="AC13" s="137">
        <f>6</f>
        <v>6</v>
      </c>
      <c r="AD13" s="137">
        <f>6</f>
        <v>6</v>
      </c>
      <c r="AE13" s="137">
        <f>6</f>
        <v>6</v>
      </c>
      <c r="AF13" s="137">
        <f>6</f>
        <v>6</v>
      </c>
      <c r="AG13" s="137">
        <f>6</f>
        <v>6</v>
      </c>
      <c r="AH13" s="137">
        <f>6</f>
        <v>6</v>
      </c>
      <c r="AI13" s="137">
        <f>6</f>
        <v>6</v>
      </c>
      <c r="AJ13" s="137">
        <f>6</f>
        <v>6</v>
      </c>
      <c r="AK13" s="137">
        <f>6</f>
        <v>6</v>
      </c>
      <c r="AL13" s="137">
        <f>AL12</f>
        <v>8</v>
      </c>
      <c r="AM13" s="137">
        <f t="shared" ref="AM13:AW13" si="1">AM12</f>
        <v>8</v>
      </c>
      <c r="AN13" s="137">
        <f t="shared" si="1"/>
        <v>8</v>
      </c>
      <c r="AO13" s="137">
        <f t="shared" si="1"/>
        <v>8</v>
      </c>
      <c r="AP13" s="137">
        <f t="shared" si="1"/>
        <v>8</v>
      </c>
      <c r="AQ13" s="137">
        <f t="shared" si="1"/>
        <v>8</v>
      </c>
      <c r="AR13" s="137">
        <f t="shared" si="1"/>
        <v>8</v>
      </c>
      <c r="AS13" s="137">
        <f t="shared" si="1"/>
        <v>8</v>
      </c>
      <c r="AT13" s="137">
        <f t="shared" si="1"/>
        <v>8</v>
      </c>
      <c r="AU13" s="137">
        <f t="shared" si="1"/>
        <v>8</v>
      </c>
      <c r="AV13" s="137">
        <f t="shared" si="1"/>
        <v>8</v>
      </c>
      <c r="AW13" s="137">
        <f t="shared" si="1"/>
        <v>8</v>
      </c>
      <c r="AX13" s="137">
        <f>10</f>
        <v>10</v>
      </c>
      <c r="AY13" s="137">
        <f>10</f>
        <v>10</v>
      </c>
      <c r="AZ13" s="137">
        <f>10</f>
        <v>10</v>
      </c>
      <c r="BA13" s="137">
        <f>10</f>
        <v>10</v>
      </c>
      <c r="BB13" s="137">
        <f>10</f>
        <v>10</v>
      </c>
      <c r="BC13" s="137">
        <f>10</f>
        <v>10</v>
      </c>
      <c r="BD13" s="137">
        <f>10</f>
        <v>10</v>
      </c>
      <c r="BE13" s="137">
        <f>10</f>
        <v>10</v>
      </c>
      <c r="BF13" s="137">
        <f>10</f>
        <v>10</v>
      </c>
      <c r="BG13" s="137">
        <f>10</f>
        <v>10</v>
      </c>
      <c r="BH13" s="137">
        <f>10</f>
        <v>10</v>
      </c>
      <c r="BI13" s="137">
        <f>10</f>
        <v>10</v>
      </c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</row>
    <row r="14" spans="1:85" s="127" customFormat="1" ht="12.75">
      <c r="A14" s="125" t="s">
        <v>90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</row>
    <row r="15" spans="1:85">
      <c r="A15" s="120" t="s">
        <v>102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9"/>
    </row>
    <row r="16" spans="1:85">
      <c r="A16" s="124" t="s">
        <v>195</v>
      </c>
      <c r="B16" s="130">
        <v>2000</v>
      </c>
      <c r="C16" s="130">
        <f>B16</f>
        <v>2000</v>
      </c>
      <c r="D16" s="130">
        <f t="shared" ref="D16:BI16" si="2">C16</f>
        <v>2000</v>
      </c>
      <c r="E16" s="130">
        <f t="shared" si="2"/>
        <v>2000</v>
      </c>
      <c r="F16" s="130">
        <f t="shared" si="2"/>
        <v>2000</v>
      </c>
      <c r="G16" s="130">
        <f t="shared" si="2"/>
        <v>2000</v>
      </c>
      <c r="H16" s="130">
        <f t="shared" si="2"/>
        <v>2000</v>
      </c>
      <c r="I16" s="130">
        <f t="shared" si="2"/>
        <v>2000</v>
      </c>
      <c r="J16" s="130">
        <f t="shared" si="2"/>
        <v>2000</v>
      </c>
      <c r="K16" s="130">
        <f t="shared" si="2"/>
        <v>2000</v>
      </c>
      <c r="L16" s="130">
        <f t="shared" si="2"/>
        <v>2000</v>
      </c>
      <c r="M16" s="130">
        <f t="shared" si="2"/>
        <v>2000</v>
      </c>
      <c r="N16" s="130">
        <f t="shared" si="2"/>
        <v>2000</v>
      </c>
      <c r="O16" s="130">
        <f t="shared" si="2"/>
        <v>2000</v>
      </c>
      <c r="P16" s="130">
        <f t="shared" si="2"/>
        <v>2000</v>
      </c>
      <c r="Q16" s="130">
        <f t="shared" si="2"/>
        <v>2000</v>
      </c>
      <c r="R16" s="130">
        <f t="shared" si="2"/>
        <v>2000</v>
      </c>
      <c r="S16" s="130">
        <f t="shared" si="2"/>
        <v>2000</v>
      </c>
      <c r="T16" s="130">
        <f t="shared" si="2"/>
        <v>2000</v>
      </c>
      <c r="U16" s="130">
        <f t="shared" si="2"/>
        <v>2000</v>
      </c>
      <c r="V16" s="130">
        <f t="shared" si="2"/>
        <v>2000</v>
      </c>
      <c r="W16" s="130">
        <f t="shared" si="2"/>
        <v>2000</v>
      </c>
      <c r="X16" s="130">
        <f t="shared" si="2"/>
        <v>2000</v>
      </c>
      <c r="Y16" s="130">
        <f t="shared" si="2"/>
        <v>2000</v>
      </c>
      <c r="Z16" s="130">
        <f t="shared" si="2"/>
        <v>2000</v>
      </c>
      <c r="AA16" s="130">
        <f t="shared" si="2"/>
        <v>2000</v>
      </c>
      <c r="AB16" s="130">
        <f t="shared" si="2"/>
        <v>2000</v>
      </c>
      <c r="AC16" s="130">
        <f t="shared" si="2"/>
        <v>2000</v>
      </c>
      <c r="AD16" s="130">
        <f t="shared" si="2"/>
        <v>2000</v>
      </c>
      <c r="AE16" s="130">
        <f t="shared" si="2"/>
        <v>2000</v>
      </c>
      <c r="AF16" s="130">
        <f t="shared" si="2"/>
        <v>2000</v>
      </c>
      <c r="AG16" s="130">
        <f t="shared" si="2"/>
        <v>2000</v>
      </c>
      <c r="AH16" s="130">
        <f t="shared" si="2"/>
        <v>2000</v>
      </c>
      <c r="AI16" s="130">
        <f t="shared" si="2"/>
        <v>2000</v>
      </c>
      <c r="AJ16" s="130">
        <f t="shared" si="2"/>
        <v>2000</v>
      </c>
      <c r="AK16" s="130">
        <f t="shared" si="2"/>
        <v>2000</v>
      </c>
      <c r="AL16" s="130">
        <f t="shared" si="2"/>
        <v>2000</v>
      </c>
      <c r="AM16" s="130">
        <f t="shared" si="2"/>
        <v>2000</v>
      </c>
      <c r="AN16" s="130">
        <f t="shared" si="2"/>
        <v>2000</v>
      </c>
      <c r="AO16" s="130">
        <f t="shared" si="2"/>
        <v>2000</v>
      </c>
      <c r="AP16" s="130">
        <f t="shared" si="2"/>
        <v>2000</v>
      </c>
      <c r="AQ16" s="130">
        <f t="shared" si="2"/>
        <v>2000</v>
      </c>
      <c r="AR16" s="130">
        <f t="shared" si="2"/>
        <v>2000</v>
      </c>
      <c r="AS16" s="130">
        <f t="shared" si="2"/>
        <v>2000</v>
      </c>
      <c r="AT16" s="130">
        <f t="shared" si="2"/>
        <v>2000</v>
      </c>
      <c r="AU16" s="130">
        <f t="shared" si="2"/>
        <v>2000</v>
      </c>
      <c r="AV16" s="130">
        <f t="shared" si="2"/>
        <v>2000</v>
      </c>
      <c r="AW16" s="130">
        <f t="shared" si="2"/>
        <v>2000</v>
      </c>
      <c r="AX16" s="130">
        <f t="shared" si="2"/>
        <v>2000</v>
      </c>
      <c r="AY16" s="130">
        <f t="shared" si="2"/>
        <v>2000</v>
      </c>
      <c r="AZ16" s="130">
        <f t="shared" si="2"/>
        <v>2000</v>
      </c>
      <c r="BA16" s="130">
        <f t="shared" si="2"/>
        <v>2000</v>
      </c>
      <c r="BB16" s="130">
        <f t="shared" si="2"/>
        <v>2000</v>
      </c>
      <c r="BC16" s="130">
        <f t="shared" si="2"/>
        <v>2000</v>
      </c>
      <c r="BD16" s="130">
        <f t="shared" si="2"/>
        <v>2000</v>
      </c>
      <c r="BE16" s="130">
        <f t="shared" si="2"/>
        <v>2000</v>
      </c>
      <c r="BF16" s="130">
        <f t="shared" si="2"/>
        <v>2000</v>
      </c>
      <c r="BG16" s="130">
        <f t="shared" si="2"/>
        <v>2000</v>
      </c>
      <c r="BH16" s="130">
        <f t="shared" si="2"/>
        <v>2000</v>
      </c>
      <c r="BI16" s="130">
        <f t="shared" si="2"/>
        <v>2000</v>
      </c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</row>
    <row r="17" spans="1:102">
      <c r="A17" s="124" t="s">
        <v>131</v>
      </c>
      <c r="B17" s="130">
        <f>2108*2</f>
        <v>4216</v>
      </c>
      <c r="C17" s="130">
        <f t="shared" ref="C17:BI17" si="3">2108*2</f>
        <v>4216</v>
      </c>
      <c r="D17" s="130">
        <f t="shared" si="3"/>
        <v>4216</v>
      </c>
      <c r="E17" s="130">
        <f t="shared" si="3"/>
        <v>4216</v>
      </c>
      <c r="F17" s="130">
        <f t="shared" si="3"/>
        <v>4216</v>
      </c>
      <c r="G17" s="130">
        <f t="shared" si="3"/>
        <v>4216</v>
      </c>
      <c r="H17" s="130">
        <f t="shared" si="3"/>
        <v>4216</v>
      </c>
      <c r="I17" s="130">
        <f t="shared" si="3"/>
        <v>4216</v>
      </c>
      <c r="J17" s="130">
        <f t="shared" si="3"/>
        <v>4216</v>
      </c>
      <c r="K17" s="130">
        <f t="shared" si="3"/>
        <v>4216</v>
      </c>
      <c r="L17" s="130">
        <f t="shared" si="3"/>
        <v>4216</v>
      </c>
      <c r="M17" s="130">
        <f t="shared" si="3"/>
        <v>4216</v>
      </c>
      <c r="N17" s="130">
        <f t="shared" si="3"/>
        <v>4216</v>
      </c>
      <c r="O17" s="130">
        <f t="shared" si="3"/>
        <v>4216</v>
      </c>
      <c r="P17" s="130">
        <f t="shared" si="3"/>
        <v>4216</v>
      </c>
      <c r="Q17" s="130">
        <f t="shared" si="3"/>
        <v>4216</v>
      </c>
      <c r="R17" s="130">
        <f t="shared" si="3"/>
        <v>4216</v>
      </c>
      <c r="S17" s="130">
        <f t="shared" si="3"/>
        <v>4216</v>
      </c>
      <c r="T17" s="130">
        <f t="shared" si="3"/>
        <v>4216</v>
      </c>
      <c r="U17" s="130">
        <f t="shared" si="3"/>
        <v>4216</v>
      </c>
      <c r="V17" s="130">
        <f t="shared" si="3"/>
        <v>4216</v>
      </c>
      <c r="W17" s="130">
        <f t="shared" si="3"/>
        <v>4216</v>
      </c>
      <c r="X17" s="130">
        <f t="shared" si="3"/>
        <v>4216</v>
      </c>
      <c r="Y17" s="130">
        <f t="shared" si="3"/>
        <v>4216</v>
      </c>
      <c r="Z17" s="130">
        <f t="shared" si="3"/>
        <v>4216</v>
      </c>
      <c r="AA17" s="130">
        <f t="shared" si="3"/>
        <v>4216</v>
      </c>
      <c r="AB17" s="130">
        <f t="shared" si="3"/>
        <v>4216</v>
      </c>
      <c r="AC17" s="130">
        <f t="shared" si="3"/>
        <v>4216</v>
      </c>
      <c r="AD17" s="130">
        <f t="shared" si="3"/>
        <v>4216</v>
      </c>
      <c r="AE17" s="130">
        <f t="shared" si="3"/>
        <v>4216</v>
      </c>
      <c r="AF17" s="130">
        <f t="shared" si="3"/>
        <v>4216</v>
      </c>
      <c r="AG17" s="130">
        <f t="shared" si="3"/>
        <v>4216</v>
      </c>
      <c r="AH17" s="130">
        <f t="shared" si="3"/>
        <v>4216</v>
      </c>
      <c r="AI17" s="130">
        <f t="shared" si="3"/>
        <v>4216</v>
      </c>
      <c r="AJ17" s="130">
        <f t="shared" si="3"/>
        <v>4216</v>
      </c>
      <c r="AK17" s="130">
        <f t="shared" si="3"/>
        <v>4216</v>
      </c>
      <c r="AL17" s="130">
        <f t="shared" si="3"/>
        <v>4216</v>
      </c>
      <c r="AM17" s="130">
        <f t="shared" si="3"/>
        <v>4216</v>
      </c>
      <c r="AN17" s="130">
        <f t="shared" si="3"/>
        <v>4216</v>
      </c>
      <c r="AO17" s="130">
        <f t="shared" si="3"/>
        <v>4216</v>
      </c>
      <c r="AP17" s="130">
        <f t="shared" si="3"/>
        <v>4216</v>
      </c>
      <c r="AQ17" s="130">
        <f t="shared" si="3"/>
        <v>4216</v>
      </c>
      <c r="AR17" s="130">
        <f t="shared" si="3"/>
        <v>4216</v>
      </c>
      <c r="AS17" s="130">
        <f t="shared" si="3"/>
        <v>4216</v>
      </c>
      <c r="AT17" s="130">
        <f t="shared" si="3"/>
        <v>4216</v>
      </c>
      <c r="AU17" s="130">
        <f t="shared" si="3"/>
        <v>4216</v>
      </c>
      <c r="AV17" s="130">
        <f t="shared" si="3"/>
        <v>4216</v>
      </c>
      <c r="AW17" s="130">
        <f t="shared" si="3"/>
        <v>4216</v>
      </c>
      <c r="AX17" s="130">
        <f t="shared" si="3"/>
        <v>4216</v>
      </c>
      <c r="AY17" s="130">
        <f t="shared" si="3"/>
        <v>4216</v>
      </c>
      <c r="AZ17" s="130">
        <f t="shared" si="3"/>
        <v>4216</v>
      </c>
      <c r="BA17" s="130">
        <f t="shared" si="3"/>
        <v>4216</v>
      </c>
      <c r="BB17" s="130">
        <f t="shared" si="3"/>
        <v>4216</v>
      </c>
      <c r="BC17" s="130">
        <f t="shared" si="3"/>
        <v>4216</v>
      </c>
      <c r="BD17" s="130">
        <f t="shared" si="3"/>
        <v>4216</v>
      </c>
      <c r="BE17" s="130">
        <f t="shared" si="3"/>
        <v>4216</v>
      </c>
      <c r="BF17" s="130">
        <f t="shared" si="3"/>
        <v>4216</v>
      </c>
      <c r="BG17" s="130">
        <f t="shared" si="3"/>
        <v>4216</v>
      </c>
      <c r="BH17" s="130">
        <f t="shared" si="3"/>
        <v>4216</v>
      </c>
      <c r="BI17" s="130">
        <f t="shared" si="3"/>
        <v>4216</v>
      </c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</row>
    <row r="18" spans="1:102">
      <c r="A18" s="120" t="s">
        <v>101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2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</row>
    <row r="19" spans="1:102">
      <c r="A19" s="124" t="s">
        <v>180</v>
      </c>
      <c r="B19" s="130">
        <f>2120*2</f>
        <v>4240</v>
      </c>
      <c r="C19" s="130">
        <f t="shared" ref="C19:BI19" si="4">2120*2</f>
        <v>4240</v>
      </c>
      <c r="D19" s="130">
        <f t="shared" si="4"/>
        <v>4240</v>
      </c>
      <c r="E19" s="130">
        <f t="shared" si="4"/>
        <v>4240</v>
      </c>
      <c r="F19" s="130">
        <f t="shared" si="4"/>
        <v>4240</v>
      </c>
      <c r="G19" s="130">
        <f t="shared" si="4"/>
        <v>4240</v>
      </c>
      <c r="H19" s="130">
        <f t="shared" si="4"/>
        <v>4240</v>
      </c>
      <c r="I19" s="130">
        <f t="shared" si="4"/>
        <v>4240</v>
      </c>
      <c r="J19" s="130">
        <f t="shared" si="4"/>
        <v>4240</v>
      </c>
      <c r="K19" s="130">
        <f t="shared" si="4"/>
        <v>4240</v>
      </c>
      <c r="L19" s="130">
        <f t="shared" si="4"/>
        <v>4240</v>
      </c>
      <c r="M19" s="130">
        <f t="shared" si="4"/>
        <v>4240</v>
      </c>
      <c r="N19" s="130">
        <f t="shared" si="4"/>
        <v>4240</v>
      </c>
      <c r="O19" s="130">
        <f t="shared" si="4"/>
        <v>4240</v>
      </c>
      <c r="P19" s="130">
        <f t="shared" si="4"/>
        <v>4240</v>
      </c>
      <c r="Q19" s="130">
        <f t="shared" si="4"/>
        <v>4240</v>
      </c>
      <c r="R19" s="130">
        <f t="shared" si="4"/>
        <v>4240</v>
      </c>
      <c r="S19" s="130">
        <f t="shared" si="4"/>
        <v>4240</v>
      </c>
      <c r="T19" s="130">
        <f t="shared" si="4"/>
        <v>4240</v>
      </c>
      <c r="U19" s="130">
        <f t="shared" si="4"/>
        <v>4240</v>
      </c>
      <c r="V19" s="130">
        <f t="shared" si="4"/>
        <v>4240</v>
      </c>
      <c r="W19" s="130">
        <f t="shared" si="4"/>
        <v>4240</v>
      </c>
      <c r="X19" s="130">
        <f t="shared" si="4"/>
        <v>4240</v>
      </c>
      <c r="Y19" s="130">
        <f t="shared" si="4"/>
        <v>4240</v>
      </c>
      <c r="Z19" s="130">
        <f t="shared" si="4"/>
        <v>4240</v>
      </c>
      <c r="AA19" s="130">
        <f t="shared" si="4"/>
        <v>4240</v>
      </c>
      <c r="AB19" s="130">
        <f t="shared" si="4"/>
        <v>4240</v>
      </c>
      <c r="AC19" s="130">
        <f t="shared" si="4"/>
        <v>4240</v>
      </c>
      <c r="AD19" s="130">
        <f t="shared" si="4"/>
        <v>4240</v>
      </c>
      <c r="AE19" s="130">
        <f t="shared" si="4"/>
        <v>4240</v>
      </c>
      <c r="AF19" s="130">
        <f t="shared" si="4"/>
        <v>4240</v>
      </c>
      <c r="AG19" s="130">
        <f t="shared" si="4"/>
        <v>4240</v>
      </c>
      <c r="AH19" s="130">
        <f t="shared" si="4"/>
        <v>4240</v>
      </c>
      <c r="AI19" s="130">
        <f t="shared" si="4"/>
        <v>4240</v>
      </c>
      <c r="AJ19" s="130">
        <f t="shared" si="4"/>
        <v>4240</v>
      </c>
      <c r="AK19" s="130">
        <f t="shared" si="4"/>
        <v>4240</v>
      </c>
      <c r="AL19" s="130">
        <f t="shared" si="4"/>
        <v>4240</v>
      </c>
      <c r="AM19" s="130">
        <f t="shared" si="4"/>
        <v>4240</v>
      </c>
      <c r="AN19" s="130">
        <f t="shared" si="4"/>
        <v>4240</v>
      </c>
      <c r="AO19" s="130">
        <f t="shared" si="4"/>
        <v>4240</v>
      </c>
      <c r="AP19" s="130">
        <f t="shared" si="4"/>
        <v>4240</v>
      </c>
      <c r="AQ19" s="130">
        <f t="shared" si="4"/>
        <v>4240</v>
      </c>
      <c r="AR19" s="130">
        <f t="shared" si="4"/>
        <v>4240</v>
      </c>
      <c r="AS19" s="130">
        <f t="shared" si="4"/>
        <v>4240</v>
      </c>
      <c r="AT19" s="130">
        <f t="shared" si="4"/>
        <v>4240</v>
      </c>
      <c r="AU19" s="130">
        <f t="shared" si="4"/>
        <v>4240</v>
      </c>
      <c r="AV19" s="130">
        <f t="shared" si="4"/>
        <v>4240</v>
      </c>
      <c r="AW19" s="130">
        <f t="shared" si="4"/>
        <v>4240</v>
      </c>
      <c r="AX19" s="130">
        <f t="shared" si="4"/>
        <v>4240</v>
      </c>
      <c r="AY19" s="130">
        <f t="shared" si="4"/>
        <v>4240</v>
      </c>
      <c r="AZ19" s="130">
        <f t="shared" si="4"/>
        <v>4240</v>
      </c>
      <c r="BA19" s="130">
        <f t="shared" si="4"/>
        <v>4240</v>
      </c>
      <c r="BB19" s="130">
        <f t="shared" si="4"/>
        <v>4240</v>
      </c>
      <c r="BC19" s="130">
        <f t="shared" si="4"/>
        <v>4240</v>
      </c>
      <c r="BD19" s="130">
        <f t="shared" si="4"/>
        <v>4240</v>
      </c>
      <c r="BE19" s="130">
        <f t="shared" si="4"/>
        <v>4240</v>
      </c>
      <c r="BF19" s="130">
        <f t="shared" si="4"/>
        <v>4240</v>
      </c>
      <c r="BG19" s="130">
        <f t="shared" si="4"/>
        <v>4240</v>
      </c>
      <c r="BH19" s="130">
        <f t="shared" si="4"/>
        <v>4240</v>
      </c>
      <c r="BI19" s="130">
        <f t="shared" si="4"/>
        <v>4240</v>
      </c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</row>
    <row r="20" spans="1:102">
      <c r="A20" s="124" t="s">
        <v>179</v>
      </c>
      <c r="B20" s="131">
        <f>2000*2</f>
        <v>4000</v>
      </c>
      <c r="C20" s="131">
        <f t="shared" ref="C20:BI20" si="5">2000*2</f>
        <v>4000</v>
      </c>
      <c r="D20" s="131">
        <f t="shared" si="5"/>
        <v>4000</v>
      </c>
      <c r="E20" s="131">
        <f t="shared" si="5"/>
        <v>4000</v>
      </c>
      <c r="F20" s="131">
        <f t="shared" si="5"/>
        <v>4000</v>
      </c>
      <c r="G20" s="131">
        <f t="shared" si="5"/>
        <v>4000</v>
      </c>
      <c r="H20" s="131">
        <f t="shared" si="5"/>
        <v>4000</v>
      </c>
      <c r="I20" s="131">
        <f t="shared" si="5"/>
        <v>4000</v>
      </c>
      <c r="J20" s="131">
        <f t="shared" si="5"/>
        <v>4000</v>
      </c>
      <c r="K20" s="131">
        <f t="shared" si="5"/>
        <v>4000</v>
      </c>
      <c r="L20" s="131">
        <f t="shared" si="5"/>
        <v>4000</v>
      </c>
      <c r="M20" s="131">
        <f t="shared" si="5"/>
        <v>4000</v>
      </c>
      <c r="N20" s="131">
        <f t="shared" si="5"/>
        <v>4000</v>
      </c>
      <c r="O20" s="131">
        <f t="shared" si="5"/>
        <v>4000</v>
      </c>
      <c r="P20" s="131">
        <f t="shared" si="5"/>
        <v>4000</v>
      </c>
      <c r="Q20" s="131">
        <f t="shared" si="5"/>
        <v>4000</v>
      </c>
      <c r="R20" s="131">
        <f t="shared" si="5"/>
        <v>4000</v>
      </c>
      <c r="S20" s="131">
        <f t="shared" si="5"/>
        <v>4000</v>
      </c>
      <c r="T20" s="131">
        <f t="shared" si="5"/>
        <v>4000</v>
      </c>
      <c r="U20" s="131">
        <f t="shared" si="5"/>
        <v>4000</v>
      </c>
      <c r="V20" s="131">
        <f t="shared" si="5"/>
        <v>4000</v>
      </c>
      <c r="W20" s="131">
        <f t="shared" si="5"/>
        <v>4000</v>
      </c>
      <c r="X20" s="131">
        <f t="shared" si="5"/>
        <v>4000</v>
      </c>
      <c r="Y20" s="131">
        <f t="shared" si="5"/>
        <v>4000</v>
      </c>
      <c r="Z20" s="131">
        <f t="shared" si="5"/>
        <v>4000</v>
      </c>
      <c r="AA20" s="131">
        <f t="shared" si="5"/>
        <v>4000</v>
      </c>
      <c r="AB20" s="131">
        <f t="shared" si="5"/>
        <v>4000</v>
      </c>
      <c r="AC20" s="131">
        <f t="shared" si="5"/>
        <v>4000</v>
      </c>
      <c r="AD20" s="131">
        <f t="shared" si="5"/>
        <v>4000</v>
      </c>
      <c r="AE20" s="131">
        <f t="shared" si="5"/>
        <v>4000</v>
      </c>
      <c r="AF20" s="131">
        <f t="shared" si="5"/>
        <v>4000</v>
      </c>
      <c r="AG20" s="131">
        <f t="shared" si="5"/>
        <v>4000</v>
      </c>
      <c r="AH20" s="131">
        <f t="shared" si="5"/>
        <v>4000</v>
      </c>
      <c r="AI20" s="131">
        <f t="shared" si="5"/>
        <v>4000</v>
      </c>
      <c r="AJ20" s="131">
        <f t="shared" si="5"/>
        <v>4000</v>
      </c>
      <c r="AK20" s="131">
        <f t="shared" si="5"/>
        <v>4000</v>
      </c>
      <c r="AL20" s="131">
        <f t="shared" si="5"/>
        <v>4000</v>
      </c>
      <c r="AM20" s="131">
        <f t="shared" si="5"/>
        <v>4000</v>
      </c>
      <c r="AN20" s="131">
        <f t="shared" si="5"/>
        <v>4000</v>
      </c>
      <c r="AO20" s="131">
        <f t="shared" si="5"/>
        <v>4000</v>
      </c>
      <c r="AP20" s="131">
        <f t="shared" si="5"/>
        <v>4000</v>
      </c>
      <c r="AQ20" s="131">
        <f t="shared" si="5"/>
        <v>4000</v>
      </c>
      <c r="AR20" s="131">
        <f t="shared" si="5"/>
        <v>4000</v>
      </c>
      <c r="AS20" s="131">
        <f t="shared" si="5"/>
        <v>4000</v>
      </c>
      <c r="AT20" s="131">
        <f t="shared" si="5"/>
        <v>4000</v>
      </c>
      <c r="AU20" s="131">
        <f t="shared" si="5"/>
        <v>4000</v>
      </c>
      <c r="AV20" s="131">
        <f t="shared" si="5"/>
        <v>4000</v>
      </c>
      <c r="AW20" s="131">
        <f t="shared" si="5"/>
        <v>4000</v>
      </c>
      <c r="AX20" s="131">
        <f t="shared" si="5"/>
        <v>4000</v>
      </c>
      <c r="AY20" s="131">
        <f t="shared" si="5"/>
        <v>4000</v>
      </c>
      <c r="AZ20" s="131">
        <f t="shared" si="5"/>
        <v>4000</v>
      </c>
      <c r="BA20" s="131">
        <f t="shared" si="5"/>
        <v>4000</v>
      </c>
      <c r="BB20" s="131">
        <f t="shared" si="5"/>
        <v>4000</v>
      </c>
      <c r="BC20" s="131">
        <f t="shared" si="5"/>
        <v>4000</v>
      </c>
      <c r="BD20" s="131">
        <f t="shared" si="5"/>
        <v>4000</v>
      </c>
      <c r="BE20" s="131">
        <f t="shared" si="5"/>
        <v>4000</v>
      </c>
      <c r="BF20" s="131">
        <f t="shared" si="5"/>
        <v>4000</v>
      </c>
      <c r="BG20" s="131">
        <f t="shared" si="5"/>
        <v>4000</v>
      </c>
      <c r="BH20" s="131">
        <f t="shared" si="5"/>
        <v>4000</v>
      </c>
      <c r="BI20" s="131">
        <f t="shared" si="5"/>
        <v>4000</v>
      </c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</row>
    <row r="21" spans="1:102" ht="12.75">
      <c r="A21" s="125" t="s">
        <v>115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</row>
    <row r="22" spans="1:102">
      <c r="A22" s="120" t="s">
        <v>102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9"/>
    </row>
    <row r="23" spans="1:102">
      <c r="A23" s="124" t="s">
        <v>195</v>
      </c>
      <c r="B23" s="128">
        <f>B16*B9</f>
        <v>2000</v>
      </c>
      <c r="C23" s="128">
        <f t="shared" ref="C23:AG23" si="6">C16*C9</f>
        <v>2000</v>
      </c>
      <c r="D23" s="128">
        <f t="shared" si="6"/>
        <v>2000</v>
      </c>
      <c r="E23" s="128">
        <f t="shared" si="6"/>
        <v>2000</v>
      </c>
      <c r="F23" s="128">
        <f t="shared" si="6"/>
        <v>2000</v>
      </c>
      <c r="G23" s="128">
        <f t="shared" si="6"/>
        <v>2000</v>
      </c>
      <c r="H23" s="128">
        <f t="shared" si="6"/>
        <v>2000</v>
      </c>
      <c r="I23" s="128">
        <f t="shared" si="6"/>
        <v>2000</v>
      </c>
      <c r="J23" s="128">
        <f t="shared" si="6"/>
        <v>2000</v>
      </c>
      <c r="K23" s="128">
        <f t="shared" si="6"/>
        <v>2000</v>
      </c>
      <c r="L23" s="128">
        <f t="shared" si="6"/>
        <v>2000</v>
      </c>
      <c r="M23" s="128">
        <f t="shared" si="6"/>
        <v>2000</v>
      </c>
      <c r="N23" s="128">
        <f t="shared" si="6"/>
        <v>2000</v>
      </c>
      <c r="O23" s="128">
        <f t="shared" si="6"/>
        <v>2000</v>
      </c>
      <c r="P23" s="128">
        <f t="shared" si="6"/>
        <v>2000</v>
      </c>
      <c r="Q23" s="128">
        <f t="shared" si="6"/>
        <v>2000</v>
      </c>
      <c r="R23" s="128">
        <f t="shared" si="6"/>
        <v>2000</v>
      </c>
      <c r="S23" s="128">
        <f t="shared" si="6"/>
        <v>2000</v>
      </c>
      <c r="T23" s="128">
        <f t="shared" si="6"/>
        <v>2000</v>
      </c>
      <c r="U23" s="128">
        <f t="shared" si="6"/>
        <v>2000</v>
      </c>
      <c r="V23" s="128">
        <f t="shared" si="6"/>
        <v>2000</v>
      </c>
      <c r="W23" s="128">
        <f t="shared" si="6"/>
        <v>2000</v>
      </c>
      <c r="X23" s="128">
        <f t="shared" si="6"/>
        <v>2000</v>
      </c>
      <c r="Y23" s="128">
        <f t="shared" si="6"/>
        <v>2000</v>
      </c>
      <c r="Z23" s="128">
        <f t="shared" si="6"/>
        <v>2000</v>
      </c>
      <c r="AA23" s="128">
        <f t="shared" si="6"/>
        <v>2000</v>
      </c>
      <c r="AB23" s="128">
        <f t="shared" si="6"/>
        <v>2000</v>
      </c>
      <c r="AC23" s="128">
        <f t="shared" si="6"/>
        <v>2000</v>
      </c>
      <c r="AD23" s="128">
        <f t="shared" si="6"/>
        <v>2000</v>
      </c>
      <c r="AE23" s="128">
        <f t="shared" si="6"/>
        <v>2000</v>
      </c>
      <c r="AF23" s="128">
        <f t="shared" si="6"/>
        <v>2000</v>
      </c>
      <c r="AG23" s="128">
        <f t="shared" si="6"/>
        <v>2000</v>
      </c>
      <c r="AH23" s="128">
        <f t="shared" ref="AH23:BI23" si="7">AH16*AH9</f>
        <v>2000</v>
      </c>
      <c r="AI23" s="128">
        <f t="shared" si="7"/>
        <v>2000</v>
      </c>
      <c r="AJ23" s="128">
        <f t="shared" si="7"/>
        <v>2000</v>
      </c>
      <c r="AK23" s="128">
        <f t="shared" si="7"/>
        <v>2000</v>
      </c>
      <c r="AL23" s="128">
        <f t="shared" si="7"/>
        <v>2000</v>
      </c>
      <c r="AM23" s="128">
        <f t="shared" si="7"/>
        <v>2000</v>
      </c>
      <c r="AN23" s="128">
        <f t="shared" si="7"/>
        <v>2000</v>
      </c>
      <c r="AO23" s="128">
        <f t="shared" si="7"/>
        <v>2000</v>
      </c>
      <c r="AP23" s="128">
        <f t="shared" si="7"/>
        <v>2000</v>
      </c>
      <c r="AQ23" s="128">
        <f t="shared" si="7"/>
        <v>2000</v>
      </c>
      <c r="AR23" s="128">
        <f t="shared" si="7"/>
        <v>2000</v>
      </c>
      <c r="AS23" s="128">
        <f t="shared" si="7"/>
        <v>2000</v>
      </c>
      <c r="AT23" s="128">
        <f t="shared" si="7"/>
        <v>2000</v>
      </c>
      <c r="AU23" s="128">
        <f t="shared" si="7"/>
        <v>2000</v>
      </c>
      <c r="AV23" s="128">
        <f t="shared" si="7"/>
        <v>2000</v>
      </c>
      <c r="AW23" s="128">
        <f t="shared" si="7"/>
        <v>2000</v>
      </c>
      <c r="AX23" s="128">
        <f t="shared" si="7"/>
        <v>2000</v>
      </c>
      <c r="AY23" s="128">
        <f t="shared" si="7"/>
        <v>2000</v>
      </c>
      <c r="AZ23" s="128">
        <f t="shared" si="7"/>
        <v>2000</v>
      </c>
      <c r="BA23" s="128">
        <f t="shared" si="7"/>
        <v>2000</v>
      </c>
      <c r="BB23" s="128">
        <f t="shared" si="7"/>
        <v>2000</v>
      </c>
      <c r="BC23" s="128">
        <f t="shared" si="7"/>
        <v>2000</v>
      </c>
      <c r="BD23" s="128">
        <f t="shared" si="7"/>
        <v>2000</v>
      </c>
      <c r="BE23" s="128">
        <f t="shared" si="7"/>
        <v>2000</v>
      </c>
      <c r="BF23" s="128">
        <f t="shared" si="7"/>
        <v>2000</v>
      </c>
      <c r="BG23" s="128">
        <f t="shared" si="7"/>
        <v>2000</v>
      </c>
      <c r="BH23" s="128">
        <f t="shared" si="7"/>
        <v>2000</v>
      </c>
      <c r="BI23" s="129">
        <f t="shared" si="7"/>
        <v>2000</v>
      </c>
    </row>
    <row r="24" spans="1:102">
      <c r="A24" s="124" t="s">
        <v>131</v>
      </c>
      <c r="B24" s="128">
        <f t="shared" ref="B24:AG24" si="8">B17*B10</f>
        <v>4216</v>
      </c>
      <c r="C24" s="128">
        <f t="shared" si="8"/>
        <v>4216</v>
      </c>
      <c r="D24" s="128">
        <f t="shared" si="8"/>
        <v>4216</v>
      </c>
      <c r="E24" s="128">
        <f t="shared" si="8"/>
        <v>4216</v>
      </c>
      <c r="F24" s="128">
        <f t="shared" si="8"/>
        <v>4216</v>
      </c>
      <c r="G24" s="128">
        <f t="shared" si="8"/>
        <v>4216</v>
      </c>
      <c r="H24" s="128">
        <f t="shared" si="8"/>
        <v>4216</v>
      </c>
      <c r="I24" s="128">
        <f t="shared" si="8"/>
        <v>4216</v>
      </c>
      <c r="J24" s="128">
        <f t="shared" si="8"/>
        <v>4216</v>
      </c>
      <c r="K24" s="128">
        <f t="shared" si="8"/>
        <v>4216</v>
      </c>
      <c r="L24" s="128">
        <f t="shared" si="8"/>
        <v>4216</v>
      </c>
      <c r="M24" s="128">
        <f t="shared" si="8"/>
        <v>4216</v>
      </c>
      <c r="N24" s="128">
        <f t="shared" si="8"/>
        <v>8432</v>
      </c>
      <c r="O24" s="128">
        <f t="shared" si="8"/>
        <v>8432</v>
      </c>
      <c r="P24" s="128">
        <f t="shared" si="8"/>
        <v>8432</v>
      </c>
      <c r="Q24" s="128">
        <f t="shared" si="8"/>
        <v>8432</v>
      </c>
      <c r="R24" s="128">
        <f t="shared" si="8"/>
        <v>8432</v>
      </c>
      <c r="S24" s="128">
        <f t="shared" si="8"/>
        <v>8432</v>
      </c>
      <c r="T24" s="128">
        <f t="shared" si="8"/>
        <v>8432</v>
      </c>
      <c r="U24" s="128">
        <f t="shared" si="8"/>
        <v>8432</v>
      </c>
      <c r="V24" s="128">
        <f t="shared" si="8"/>
        <v>8432</v>
      </c>
      <c r="W24" s="128">
        <f t="shared" si="8"/>
        <v>8432</v>
      </c>
      <c r="X24" s="128">
        <f t="shared" si="8"/>
        <v>8432</v>
      </c>
      <c r="Y24" s="128">
        <f t="shared" si="8"/>
        <v>8432</v>
      </c>
      <c r="Z24" s="128">
        <f t="shared" si="8"/>
        <v>12648</v>
      </c>
      <c r="AA24" s="128">
        <f t="shared" si="8"/>
        <v>12648</v>
      </c>
      <c r="AB24" s="128">
        <f t="shared" si="8"/>
        <v>12648</v>
      </c>
      <c r="AC24" s="128">
        <f t="shared" si="8"/>
        <v>12648</v>
      </c>
      <c r="AD24" s="128">
        <f t="shared" si="8"/>
        <v>12648</v>
      </c>
      <c r="AE24" s="128">
        <f t="shared" si="8"/>
        <v>12648</v>
      </c>
      <c r="AF24" s="128">
        <f t="shared" si="8"/>
        <v>12648</v>
      </c>
      <c r="AG24" s="128">
        <f t="shared" si="8"/>
        <v>12648</v>
      </c>
      <c r="AH24" s="128">
        <f t="shared" ref="AH24:BI24" si="9">AH17*AH10</f>
        <v>12648</v>
      </c>
      <c r="AI24" s="128">
        <f t="shared" si="9"/>
        <v>12648</v>
      </c>
      <c r="AJ24" s="128">
        <f t="shared" si="9"/>
        <v>12648</v>
      </c>
      <c r="AK24" s="128">
        <f t="shared" si="9"/>
        <v>12648</v>
      </c>
      <c r="AL24" s="128">
        <f t="shared" si="9"/>
        <v>16864</v>
      </c>
      <c r="AM24" s="128">
        <f t="shared" si="9"/>
        <v>16864</v>
      </c>
      <c r="AN24" s="128">
        <f t="shared" si="9"/>
        <v>16864</v>
      </c>
      <c r="AO24" s="128">
        <f t="shared" si="9"/>
        <v>16864</v>
      </c>
      <c r="AP24" s="128">
        <f t="shared" si="9"/>
        <v>16864</v>
      </c>
      <c r="AQ24" s="128">
        <f t="shared" si="9"/>
        <v>16864</v>
      </c>
      <c r="AR24" s="128">
        <f t="shared" si="9"/>
        <v>16864</v>
      </c>
      <c r="AS24" s="128">
        <f t="shared" si="9"/>
        <v>16864</v>
      </c>
      <c r="AT24" s="128">
        <f t="shared" si="9"/>
        <v>16864</v>
      </c>
      <c r="AU24" s="128">
        <f t="shared" si="9"/>
        <v>16864</v>
      </c>
      <c r="AV24" s="128">
        <f t="shared" si="9"/>
        <v>16864</v>
      </c>
      <c r="AW24" s="128">
        <f t="shared" si="9"/>
        <v>16864</v>
      </c>
      <c r="AX24" s="128">
        <f t="shared" si="9"/>
        <v>21080</v>
      </c>
      <c r="AY24" s="128">
        <f t="shared" si="9"/>
        <v>21080</v>
      </c>
      <c r="AZ24" s="128">
        <f t="shared" si="9"/>
        <v>21080</v>
      </c>
      <c r="BA24" s="128">
        <f t="shared" si="9"/>
        <v>21080</v>
      </c>
      <c r="BB24" s="128">
        <f t="shared" si="9"/>
        <v>21080</v>
      </c>
      <c r="BC24" s="128">
        <f t="shared" si="9"/>
        <v>21080</v>
      </c>
      <c r="BD24" s="128">
        <f t="shared" si="9"/>
        <v>21080</v>
      </c>
      <c r="BE24" s="128">
        <f t="shared" si="9"/>
        <v>21080</v>
      </c>
      <c r="BF24" s="128">
        <f t="shared" si="9"/>
        <v>21080</v>
      </c>
      <c r="BG24" s="128">
        <f t="shared" si="9"/>
        <v>21080</v>
      </c>
      <c r="BH24" s="128">
        <f t="shared" si="9"/>
        <v>21080</v>
      </c>
      <c r="BI24" s="129">
        <f t="shared" si="9"/>
        <v>21080</v>
      </c>
    </row>
    <row r="25" spans="1:102">
      <c r="A25" s="120" t="s">
        <v>101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9"/>
    </row>
    <row r="26" spans="1:102">
      <c r="A26" s="124" t="s">
        <v>180</v>
      </c>
      <c r="B26" s="128">
        <f t="shared" ref="B26:AG26" si="10">B19*B12</f>
        <v>8480</v>
      </c>
      <c r="C26" s="128">
        <f t="shared" si="10"/>
        <v>8480</v>
      </c>
      <c r="D26" s="128">
        <f t="shared" si="10"/>
        <v>8480</v>
      </c>
      <c r="E26" s="128">
        <f t="shared" si="10"/>
        <v>8480</v>
      </c>
      <c r="F26" s="128">
        <f t="shared" si="10"/>
        <v>8480</v>
      </c>
      <c r="G26" s="128">
        <f t="shared" si="10"/>
        <v>8480</v>
      </c>
      <c r="H26" s="128">
        <f t="shared" si="10"/>
        <v>8480</v>
      </c>
      <c r="I26" s="128">
        <f t="shared" si="10"/>
        <v>8480</v>
      </c>
      <c r="J26" s="128">
        <f t="shared" si="10"/>
        <v>8480</v>
      </c>
      <c r="K26" s="128">
        <f t="shared" si="10"/>
        <v>8480</v>
      </c>
      <c r="L26" s="128">
        <f t="shared" si="10"/>
        <v>8480</v>
      </c>
      <c r="M26" s="128">
        <f t="shared" si="10"/>
        <v>8480</v>
      </c>
      <c r="N26" s="128">
        <f t="shared" si="10"/>
        <v>16960</v>
      </c>
      <c r="O26" s="128">
        <f t="shared" si="10"/>
        <v>16960</v>
      </c>
      <c r="P26" s="128">
        <f t="shared" si="10"/>
        <v>16960</v>
      </c>
      <c r="Q26" s="128">
        <f t="shared" si="10"/>
        <v>16960</v>
      </c>
      <c r="R26" s="128">
        <f t="shared" si="10"/>
        <v>16960</v>
      </c>
      <c r="S26" s="128">
        <f t="shared" si="10"/>
        <v>16960</v>
      </c>
      <c r="T26" s="128">
        <f t="shared" si="10"/>
        <v>16960</v>
      </c>
      <c r="U26" s="128">
        <f t="shared" si="10"/>
        <v>16960</v>
      </c>
      <c r="V26" s="128">
        <f t="shared" si="10"/>
        <v>16960</v>
      </c>
      <c r="W26" s="128">
        <f t="shared" si="10"/>
        <v>16960</v>
      </c>
      <c r="X26" s="128">
        <f t="shared" si="10"/>
        <v>16960</v>
      </c>
      <c r="Y26" s="128">
        <f t="shared" si="10"/>
        <v>16960</v>
      </c>
      <c r="Z26" s="128">
        <f t="shared" si="10"/>
        <v>25440</v>
      </c>
      <c r="AA26" s="128">
        <f t="shared" si="10"/>
        <v>25440</v>
      </c>
      <c r="AB26" s="128">
        <f t="shared" si="10"/>
        <v>25440</v>
      </c>
      <c r="AC26" s="128">
        <f t="shared" si="10"/>
        <v>25440</v>
      </c>
      <c r="AD26" s="128">
        <f t="shared" si="10"/>
        <v>25440</v>
      </c>
      <c r="AE26" s="128">
        <f t="shared" si="10"/>
        <v>25440</v>
      </c>
      <c r="AF26" s="128">
        <f t="shared" si="10"/>
        <v>25440</v>
      </c>
      <c r="AG26" s="128">
        <f t="shared" si="10"/>
        <v>25440</v>
      </c>
      <c r="AH26" s="128">
        <f t="shared" ref="AH26:BI26" si="11">AH19*AH12</f>
        <v>25440</v>
      </c>
      <c r="AI26" s="128">
        <f t="shared" si="11"/>
        <v>25440</v>
      </c>
      <c r="AJ26" s="128">
        <f t="shared" si="11"/>
        <v>25440</v>
      </c>
      <c r="AK26" s="128">
        <f t="shared" si="11"/>
        <v>25440</v>
      </c>
      <c r="AL26" s="128">
        <f t="shared" si="11"/>
        <v>33920</v>
      </c>
      <c r="AM26" s="128">
        <f t="shared" si="11"/>
        <v>33920</v>
      </c>
      <c r="AN26" s="128">
        <f t="shared" si="11"/>
        <v>33920</v>
      </c>
      <c r="AO26" s="128">
        <f t="shared" si="11"/>
        <v>33920</v>
      </c>
      <c r="AP26" s="128">
        <f t="shared" si="11"/>
        <v>33920</v>
      </c>
      <c r="AQ26" s="128">
        <f t="shared" si="11"/>
        <v>33920</v>
      </c>
      <c r="AR26" s="128">
        <f t="shared" si="11"/>
        <v>33920</v>
      </c>
      <c r="AS26" s="128">
        <f t="shared" si="11"/>
        <v>33920</v>
      </c>
      <c r="AT26" s="128">
        <f t="shared" si="11"/>
        <v>33920</v>
      </c>
      <c r="AU26" s="128">
        <f t="shared" si="11"/>
        <v>33920</v>
      </c>
      <c r="AV26" s="128">
        <f t="shared" si="11"/>
        <v>33920</v>
      </c>
      <c r="AW26" s="128">
        <f t="shared" si="11"/>
        <v>33920</v>
      </c>
      <c r="AX26" s="128">
        <f t="shared" si="11"/>
        <v>42400</v>
      </c>
      <c r="AY26" s="128">
        <f t="shared" si="11"/>
        <v>42400</v>
      </c>
      <c r="AZ26" s="128">
        <f t="shared" si="11"/>
        <v>42400</v>
      </c>
      <c r="BA26" s="128">
        <f t="shared" si="11"/>
        <v>42400</v>
      </c>
      <c r="BB26" s="128">
        <f t="shared" si="11"/>
        <v>42400</v>
      </c>
      <c r="BC26" s="128">
        <f t="shared" si="11"/>
        <v>42400</v>
      </c>
      <c r="BD26" s="128">
        <f t="shared" si="11"/>
        <v>42400</v>
      </c>
      <c r="BE26" s="128">
        <f t="shared" si="11"/>
        <v>42400</v>
      </c>
      <c r="BF26" s="128">
        <f t="shared" si="11"/>
        <v>42400</v>
      </c>
      <c r="BG26" s="128">
        <f t="shared" si="11"/>
        <v>42400</v>
      </c>
      <c r="BH26" s="128">
        <f t="shared" si="11"/>
        <v>42400</v>
      </c>
      <c r="BI26" s="129">
        <f t="shared" si="11"/>
        <v>42400</v>
      </c>
    </row>
    <row r="27" spans="1:102">
      <c r="A27" s="176" t="s">
        <v>179</v>
      </c>
      <c r="B27" s="105">
        <f>B13*B20</f>
        <v>8000</v>
      </c>
      <c r="C27" s="105">
        <f t="shared" ref="C27:BI27" si="12">C13*C20</f>
        <v>8000</v>
      </c>
      <c r="D27" s="105">
        <f t="shared" si="12"/>
        <v>8000</v>
      </c>
      <c r="E27" s="105">
        <f t="shared" si="12"/>
        <v>8000</v>
      </c>
      <c r="F27" s="105">
        <f t="shared" si="12"/>
        <v>8000</v>
      </c>
      <c r="G27" s="105">
        <f t="shared" si="12"/>
        <v>8000</v>
      </c>
      <c r="H27" s="105">
        <f t="shared" si="12"/>
        <v>8000</v>
      </c>
      <c r="I27" s="105">
        <f t="shared" si="12"/>
        <v>8000</v>
      </c>
      <c r="J27" s="105">
        <f t="shared" si="12"/>
        <v>8000</v>
      </c>
      <c r="K27" s="105">
        <f t="shared" si="12"/>
        <v>8000</v>
      </c>
      <c r="L27" s="105">
        <f t="shared" si="12"/>
        <v>8000</v>
      </c>
      <c r="M27" s="105">
        <f t="shared" si="12"/>
        <v>8000</v>
      </c>
      <c r="N27" s="105">
        <f t="shared" si="12"/>
        <v>16000</v>
      </c>
      <c r="O27" s="105">
        <f t="shared" si="12"/>
        <v>16000</v>
      </c>
      <c r="P27" s="105">
        <f t="shared" si="12"/>
        <v>16000</v>
      </c>
      <c r="Q27" s="105">
        <f t="shared" si="12"/>
        <v>16000</v>
      </c>
      <c r="R27" s="105">
        <f t="shared" si="12"/>
        <v>16000</v>
      </c>
      <c r="S27" s="105">
        <f t="shared" si="12"/>
        <v>16000</v>
      </c>
      <c r="T27" s="105">
        <f t="shared" si="12"/>
        <v>16000</v>
      </c>
      <c r="U27" s="105">
        <f t="shared" si="12"/>
        <v>16000</v>
      </c>
      <c r="V27" s="105">
        <f t="shared" si="12"/>
        <v>16000</v>
      </c>
      <c r="W27" s="105">
        <f t="shared" si="12"/>
        <v>16000</v>
      </c>
      <c r="X27" s="105">
        <f t="shared" si="12"/>
        <v>16000</v>
      </c>
      <c r="Y27" s="105">
        <f t="shared" si="12"/>
        <v>16000</v>
      </c>
      <c r="Z27" s="105">
        <f t="shared" si="12"/>
        <v>24000</v>
      </c>
      <c r="AA27" s="105">
        <f t="shared" si="12"/>
        <v>24000</v>
      </c>
      <c r="AB27" s="105">
        <f t="shared" si="12"/>
        <v>24000</v>
      </c>
      <c r="AC27" s="105">
        <f t="shared" si="12"/>
        <v>24000</v>
      </c>
      <c r="AD27" s="105">
        <f t="shared" si="12"/>
        <v>24000</v>
      </c>
      <c r="AE27" s="105">
        <f t="shared" si="12"/>
        <v>24000</v>
      </c>
      <c r="AF27" s="105">
        <f t="shared" si="12"/>
        <v>24000</v>
      </c>
      <c r="AG27" s="105">
        <f t="shared" si="12"/>
        <v>24000</v>
      </c>
      <c r="AH27" s="105">
        <f t="shared" si="12"/>
        <v>24000</v>
      </c>
      <c r="AI27" s="105">
        <f t="shared" si="12"/>
        <v>24000</v>
      </c>
      <c r="AJ27" s="105">
        <f t="shared" si="12"/>
        <v>24000</v>
      </c>
      <c r="AK27" s="105">
        <f t="shared" si="12"/>
        <v>24000</v>
      </c>
      <c r="AL27" s="105">
        <f t="shared" si="12"/>
        <v>32000</v>
      </c>
      <c r="AM27" s="105">
        <f t="shared" si="12"/>
        <v>32000</v>
      </c>
      <c r="AN27" s="105">
        <f t="shared" si="12"/>
        <v>32000</v>
      </c>
      <c r="AO27" s="105">
        <f t="shared" si="12"/>
        <v>32000</v>
      </c>
      <c r="AP27" s="105">
        <f t="shared" si="12"/>
        <v>32000</v>
      </c>
      <c r="AQ27" s="105">
        <f t="shared" si="12"/>
        <v>32000</v>
      </c>
      <c r="AR27" s="105">
        <f t="shared" si="12"/>
        <v>32000</v>
      </c>
      <c r="AS27" s="105">
        <f t="shared" si="12"/>
        <v>32000</v>
      </c>
      <c r="AT27" s="105">
        <f t="shared" si="12"/>
        <v>32000</v>
      </c>
      <c r="AU27" s="105">
        <f t="shared" si="12"/>
        <v>32000</v>
      </c>
      <c r="AV27" s="105">
        <f t="shared" si="12"/>
        <v>32000</v>
      </c>
      <c r="AW27" s="105">
        <f t="shared" si="12"/>
        <v>32000</v>
      </c>
      <c r="AX27" s="105">
        <f t="shared" si="12"/>
        <v>40000</v>
      </c>
      <c r="AY27" s="105">
        <f t="shared" si="12"/>
        <v>40000</v>
      </c>
      <c r="AZ27" s="105">
        <f t="shared" si="12"/>
        <v>40000</v>
      </c>
      <c r="BA27" s="105">
        <f t="shared" si="12"/>
        <v>40000</v>
      </c>
      <c r="BB27" s="105">
        <f t="shared" si="12"/>
        <v>40000</v>
      </c>
      <c r="BC27" s="105">
        <f t="shared" si="12"/>
        <v>40000</v>
      </c>
      <c r="BD27" s="105">
        <f t="shared" si="12"/>
        <v>40000</v>
      </c>
      <c r="BE27" s="105">
        <f t="shared" si="12"/>
        <v>40000</v>
      </c>
      <c r="BF27" s="105">
        <f t="shared" si="12"/>
        <v>40000</v>
      </c>
      <c r="BG27" s="105">
        <f t="shared" si="12"/>
        <v>40000</v>
      </c>
      <c r="BH27" s="105">
        <f t="shared" si="12"/>
        <v>40000</v>
      </c>
      <c r="BI27" s="105">
        <f t="shared" si="12"/>
        <v>40000</v>
      </c>
    </row>
    <row r="28" spans="1:102" s="135" customFormat="1">
      <c r="A28" s="133" t="s">
        <v>91</v>
      </c>
      <c r="B28" s="133">
        <f t="shared" ref="B28:AG28" si="13">SUM(B22:B26)</f>
        <v>14696</v>
      </c>
      <c r="C28" s="133">
        <f t="shared" si="13"/>
        <v>14696</v>
      </c>
      <c r="D28" s="133">
        <f t="shared" si="13"/>
        <v>14696</v>
      </c>
      <c r="E28" s="133">
        <f t="shared" si="13"/>
        <v>14696</v>
      </c>
      <c r="F28" s="133">
        <f t="shared" si="13"/>
        <v>14696</v>
      </c>
      <c r="G28" s="133">
        <f t="shared" si="13"/>
        <v>14696</v>
      </c>
      <c r="H28" s="133">
        <f t="shared" si="13"/>
        <v>14696</v>
      </c>
      <c r="I28" s="133">
        <f t="shared" si="13"/>
        <v>14696</v>
      </c>
      <c r="J28" s="133">
        <f t="shared" si="13"/>
        <v>14696</v>
      </c>
      <c r="K28" s="133">
        <f t="shared" si="13"/>
        <v>14696</v>
      </c>
      <c r="L28" s="133">
        <f t="shared" si="13"/>
        <v>14696</v>
      </c>
      <c r="M28" s="133">
        <f t="shared" si="13"/>
        <v>14696</v>
      </c>
      <c r="N28" s="133">
        <f t="shared" si="13"/>
        <v>27392</v>
      </c>
      <c r="O28" s="133">
        <f t="shared" si="13"/>
        <v>27392</v>
      </c>
      <c r="P28" s="133">
        <f t="shared" si="13"/>
        <v>27392</v>
      </c>
      <c r="Q28" s="133">
        <f t="shared" si="13"/>
        <v>27392</v>
      </c>
      <c r="R28" s="133">
        <f t="shared" si="13"/>
        <v>27392</v>
      </c>
      <c r="S28" s="133">
        <f t="shared" si="13"/>
        <v>27392</v>
      </c>
      <c r="T28" s="133">
        <f t="shared" si="13"/>
        <v>27392</v>
      </c>
      <c r="U28" s="133">
        <f t="shared" si="13"/>
        <v>27392</v>
      </c>
      <c r="V28" s="133">
        <f t="shared" si="13"/>
        <v>27392</v>
      </c>
      <c r="W28" s="133">
        <f t="shared" si="13"/>
        <v>27392</v>
      </c>
      <c r="X28" s="133">
        <f t="shared" si="13"/>
        <v>27392</v>
      </c>
      <c r="Y28" s="133">
        <f t="shared" si="13"/>
        <v>27392</v>
      </c>
      <c r="Z28" s="133">
        <f t="shared" si="13"/>
        <v>40088</v>
      </c>
      <c r="AA28" s="133">
        <f t="shared" si="13"/>
        <v>40088</v>
      </c>
      <c r="AB28" s="133">
        <f t="shared" si="13"/>
        <v>40088</v>
      </c>
      <c r="AC28" s="133">
        <f t="shared" si="13"/>
        <v>40088</v>
      </c>
      <c r="AD28" s="133">
        <f t="shared" si="13"/>
        <v>40088</v>
      </c>
      <c r="AE28" s="133">
        <f t="shared" si="13"/>
        <v>40088</v>
      </c>
      <c r="AF28" s="133">
        <f t="shared" si="13"/>
        <v>40088</v>
      </c>
      <c r="AG28" s="133">
        <f t="shared" si="13"/>
        <v>40088</v>
      </c>
      <c r="AH28" s="133">
        <f t="shared" ref="AH28:BI28" si="14">SUM(AH22:AH26)</f>
        <v>40088</v>
      </c>
      <c r="AI28" s="133">
        <f t="shared" si="14"/>
        <v>40088</v>
      </c>
      <c r="AJ28" s="133">
        <f t="shared" si="14"/>
        <v>40088</v>
      </c>
      <c r="AK28" s="133">
        <f t="shared" si="14"/>
        <v>40088</v>
      </c>
      <c r="AL28" s="133">
        <f t="shared" si="14"/>
        <v>52784</v>
      </c>
      <c r="AM28" s="133">
        <f t="shared" si="14"/>
        <v>52784</v>
      </c>
      <c r="AN28" s="133">
        <f t="shared" si="14"/>
        <v>52784</v>
      </c>
      <c r="AO28" s="133">
        <f t="shared" si="14"/>
        <v>52784</v>
      </c>
      <c r="AP28" s="133">
        <f t="shared" si="14"/>
        <v>52784</v>
      </c>
      <c r="AQ28" s="133">
        <f t="shared" si="14"/>
        <v>52784</v>
      </c>
      <c r="AR28" s="133">
        <f t="shared" si="14"/>
        <v>52784</v>
      </c>
      <c r="AS28" s="133">
        <f t="shared" si="14"/>
        <v>52784</v>
      </c>
      <c r="AT28" s="133">
        <f t="shared" si="14"/>
        <v>52784</v>
      </c>
      <c r="AU28" s="133">
        <f t="shared" si="14"/>
        <v>52784</v>
      </c>
      <c r="AV28" s="133">
        <f t="shared" si="14"/>
        <v>52784</v>
      </c>
      <c r="AW28" s="133">
        <f t="shared" si="14"/>
        <v>52784</v>
      </c>
      <c r="AX28" s="133">
        <f t="shared" si="14"/>
        <v>65480</v>
      </c>
      <c r="AY28" s="133">
        <f t="shared" si="14"/>
        <v>65480</v>
      </c>
      <c r="AZ28" s="133">
        <f t="shared" si="14"/>
        <v>65480</v>
      </c>
      <c r="BA28" s="133">
        <f t="shared" si="14"/>
        <v>65480</v>
      </c>
      <c r="BB28" s="133">
        <f t="shared" si="14"/>
        <v>65480</v>
      </c>
      <c r="BC28" s="133">
        <f t="shared" si="14"/>
        <v>65480</v>
      </c>
      <c r="BD28" s="133">
        <f t="shared" si="14"/>
        <v>65480</v>
      </c>
      <c r="BE28" s="133">
        <f t="shared" si="14"/>
        <v>65480</v>
      </c>
      <c r="BF28" s="133">
        <f t="shared" si="14"/>
        <v>65480</v>
      </c>
      <c r="BG28" s="133">
        <f t="shared" si="14"/>
        <v>65480</v>
      </c>
      <c r="BH28" s="133">
        <f t="shared" si="14"/>
        <v>65480</v>
      </c>
      <c r="BI28" s="133">
        <f t="shared" si="14"/>
        <v>65480</v>
      </c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</row>
    <row r="31" spans="1:102" ht="12.75">
      <c r="A31" s="208" t="s">
        <v>115</v>
      </c>
      <c r="B31" s="209" t="s">
        <v>93</v>
      </c>
      <c r="C31" s="209" t="s">
        <v>94</v>
      </c>
      <c r="D31" s="209" t="s">
        <v>95</v>
      </c>
      <c r="E31" s="209" t="s">
        <v>96</v>
      </c>
      <c r="F31" s="209" t="s">
        <v>97</v>
      </c>
    </row>
    <row r="32" spans="1:102">
      <c r="A32" s="210" t="s">
        <v>102</v>
      </c>
      <c r="B32" s="214">
        <f>SUM(B22:M22)</f>
        <v>0</v>
      </c>
      <c r="C32" s="214">
        <f>SUM(N22:Y22)</f>
        <v>0</v>
      </c>
      <c r="D32" s="214">
        <f>SUM(Z22:AK22)</f>
        <v>0</v>
      </c>
      <c r="E32" s="214">
        <f>SUM(AL22:AW22)</f>
        <v>0</v>
      </c>
      <c r="F32" s="214">
        <f>SUM(AX22:BI22)</f>
        <v>0</v>
      </c>
    </row>
    <row r="33" spans="1:10">
      <c r="A33" s="211" t="s">
        <v>195</v>
      </c>
      <c r="B33" s="214">
        <f>SUM(B23:M23)</f>
        <v>24000</v>
      </c>
      <c r="C33" s="214">
        <f>SUM(N23:Y23)</f>
        <v>24000</v>
      </c>
      <c r="D33" s="214">
        <f>SUM(Z23:AK23)</f>
        <v>24000</v>
      </c>
      <c r="E33" s="214">
        <f>SUM(AL23:AW23)</f>
        <v>24000</v>
      </c>
      <c r="F33" s="214">
        <f>SUM(AX23:BI23)</f>
        <v>24000</v>
      </c>
      <c r="G33" s="136">
        <v>4367.4885440415992</v>
      </c>
      <c r="H33" s="136"/>
      <c r="I33" s="136"/>
      <c r="J33" s="136"/>
    </row>
    <row r="34" spans="1:10">
      <c r="A34" s="211" t="s">
        <v>131</v>
      </c>
      <c r="B34" s="214">
        <f>SUM(B24:M24)</f>
        <v>50592</v>
      </c>
      <c r="C34" s="214">
        <f>SUM(N24:Y24)</f>
        <v>101184</v>
      </c>
      <c r="D34" s="214">
        <f>SUM(Z24:AK24)</f>
        <v>151776</v>
      </c>
      <c r="E34" s="214">
        <f>SUM(AL24:AW24)</f>
        <v>202368</v>
      </c>
      <c r="F34" s="214">
        <f>SUM(AX24:BI24)</f>
        <v>252960</v>
      </c>
      <c r="G34" s="136">
        <v>2802.7619750479994</v>
      </c>
      <c r="H34" s="136"/>
      <c r="I34" s="136"/>
      <c r="J34" s="136"/>
    </row>
    <row r="35" spans="1:10">
      <c r="A35" s="210" t="s">
        <v>101</v>
      </c>
      <c r="B35" s="214"/>
      <c r="C35" s="214"/>
      <c r="D35" s="214"/>
      <c r="E35" s="214"/>
      <c r="F35" s="214"/>
      <c r="G35" s="136"/>
      <c r="H35" s="136"/>
      <c r="I35" s="136"/>
      <c r="J35" s="136"/>
    </row>
    <row r="36" spans="1:10">
      <c r="A36" s="211" t="s">
        <v>180</v>
      </c>
      <c r="B36" s="214">
        <f>SUM(B26:M26)</f>
        <v>101760</v>
      </c>
      <c r="C36" s="214">
        <f>SUM(N26:Y26)</f>
        <v>203520</v>
      </c>
      <c r="D36" s="214">
        <f>SUM(Z26:AK26)</f>
        <v>305280</v>
      </c>
      <c r="E36" s="214">
        <f>SUM(AL26:AW26)</f>
        <v>407040</v>
      </c>
      <c r="F36" s="214">
        <f>SUM(AX26:BI26)</f>
        <v>508800</v>
      </c>
    </row>
    <row r="37" spans="1:10">
      <c r="A37" s="211" t="s">
        <v>179</v>
      </c>
      <c r="B37" s="214">
        <f>SUM(B27:M27)</f>
        <v>96000</v>
      </c>
      <c r="C37" s="214">
        <f>SUM(N27:Y27)</f>
        <v>192000</v>
      </c>
      <c r="D37" s="214">
        <f>SUM(Z27:AK27)</f>
        <v>288000</v>
      </c>
      <c r="E37" s="214">
        <f>SUM(AL27:AW27)</f>
        <v>384000</v>
      </c>
      <c r="F37" s="214">
        <f>SUM(AX27:BI27)</f>
        <v>480000</v>
      </c>
    </row>
    <row r="38" spans="1:10">
      <c r="A38" s="215" t="s">
        <v>91</v>
      </c>
      <c r="B38" s="216">
        <f>SUM(B32:B36)</f>
        <v>176352</v>
      </c>
      <c r="C38" s="216">
        <f>SUM(C32:C36)</f>
        <v>328704</v>
      </c>
      <c r="D38" s="216">
        <f>SUM(D32:D36)</f>
        <v>481056</v>
      </c>
      <c r="E38" s="216">
        <f>SUM(E32:E36)</f>
        <v>633408</v>
      </c>
      <c r="F38" s="216">
        <f>SUM(F32:F36)</f>
        <v>785760</v>
      </c>
    </row>
    <row r="40" spans="1:10" ht="12.75">
      <c r="A40" s="208" t="s">
        <v>116</v>
      </c>
      <c r="B40" s="209" t="s">
        <v>93</v>
      </c>
      <c r="C40" s="209" t="s">
        <v>94</v>
      </c>
      <c r="D40" s="209" t="s">
        <v>95</v>
      </c>
      <c r="E40" s="209" t="s">
        <v>96</v>
      </c>
      <c r="F40" s="209" t="s">
        <v>97</v>
      </c>
    </row>
    <row r="41" spans="1:10">
      <c r="A41" s="210" t="s">
        <v>102</v>
      </c>
      <c r="B41" s="121"/>
      <c r="C41" s="121"/>
      <c r="D41" s="121"/>
      <c r="E41" s="121"/>
      <c r="F41" s="121"/>
    </row>
    <row r="42" spans="1:10">
      <c r="A42" s="211" t="s">
        <v>195</v>
      </c>
      <c r="B42" s="138">
        <v>1</v>
      </c>
      <c r="C42" s="138">
        <f t="shared" ref="C42:F42" si="15">B42</f>
        <v>1</v>
      </c>
      <c r="D42" s="138">
        <f t="shared" si="15"/>
        <v>1</v>
      </c>
      <c r="E42" s="138">
        <f t="shared" si="15"/>
        <v>1</v>
      </c>
      <c r="F42" s="138">
        <f t="shared" si="15"/>
        <v>1</v>
      </c>
    </row>
    <row r="43" spans="1:10">
      <c r="A43" s="211" t="s">
        <v>131</v>
      </c>
      <c r="B43" s="138">
        <v>1</v>
      </c>
      <c r="C43" s="138">
        <v>2</v>
      </c>
      <c r="D43" s="138">
        <v>3</v>
      </c>
      <c r="E43" s="138">
        <v>4</v>
      </c>
      <c r="F43" s="138">
        <v>5</v>
      </c>
    </row>
    <row r="44" spans="1:10">
      <c r="A44" s="210" t="s">
        <v>101</v>
      </c>
      <c r="B44" s="138"/>
      <c r="C44" s="138"/>
      <c r="D44" s="138"/>
      <c r="E44" s="138"/>
      <c r="F44" s="138"/>
    </row>
    <row r="45" spans="1:10">
      <c r="A45" s="211" t="s">
        <v>180</v>
      </c>
      <c r="B45" s="138">
        <v>2</v>
      </c>
      <c r="C45" s="138">
        <v>4</v>
      </c>
      <c r="D45" s="138">
        <v>6</v>
      </c>
      <c r="E45" s="138">
        <v>8</v>
      </c>
      <c r="F45" s="138">
        <v>10</v>
      </c>
    </row>
    <row r="46" spans="1:10">
      <c r="A46" s="211" t="s">
        <v>179</v>
      </c>
      <c r="B46" s="138">
        <v>2</v>
      </c>
      <c r="C46" s="138">
        <v>4</v>
      </c>
      <c r="D46" s="138">
        <v>6</v>
      </c>
      <c r="E46" s="138">
        <v>8</v>
      </c>
      <c r="F46" s="138">
        <v>10</v>
      </c>
    </row>
    <row r="47" spans="1:10">
      <c r="A47" s="212" t="s">
        <v>117</v>
      </c>
      <c r="B47" s="213">
        <f>SUM(B42:B46)</f>
        <v>6</v>
      </c>
      <c r="C47" s="213">
        <f t="shared" ref="C47:F47" si="16">SUM(C42:C46)</f>
        <v>11</v>
      </c>
      <c r="D47" s="213">
        <f t="shared" si="16"/>
        <v>16</v>
      </c>
      <c r="E47" s="213">
        <f t="shared" si="16"/>
        <v>21</v>
      </c>
      <c r="F47" s="213">
        <f t="shared" si="16"/>
        <v>26</v>
      </c>
    </row>
  </sheetData>
  <pageMargins left="0.7" right="0.7" top="0.75" bottom="0.75" header="0.3" footer="0.3"/>
  <pageSetup paperSize="9"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A177"/>
  <sheetViews>
    <sheetView topLeftCell="A58" zoomScale="80" zoomScaleNormal="80" zoomScalePageLayoutView="75" workbookViewId="0">
      <selection activeCell="H48" sqref="H48"/>
    </sheetView>
  </sheetViews>
  <sheetFormatPr defaultColWidth="8.85546875" defaultRowHeight="15"/>
  <cols>
    <col min="1" max="1" width="39.85546875" bestFit="1" customWidth="1"/>
    <col min="2" max="2" width="23.5703125" bestFit="1" customWidth="1"/>
    <col min="3" max="3" width="28.140625" customWidth="1"/>
    <col min="4" max="4" width="24.85546875" bestFit="1" customWidth="1"/>
    <col min="5" max="5" width="26.42578125" bestFit="1" customWidth="1"/>
    <col min="6" max="6" width="25.28515625" bestFit="1" customWidth="1"/>
    <col min="7" max="7" width="21.42578125" bestFit="1" customWidth="1"/>
    <col min="8" max="8" width="22.7109375" bestFit="1" customWidth="1"/>
    <col min="9" max="9" width="20.85546875" bestFit="1" customWidth="1"/>
    <col min="10" max="10" width="20.7109375" bestFit="1" customWidth="1"/>
    <col min="11" max="11" width="20.85546875" bestFit="1" customWidth="1"/>
    <col min="12" max="12" width="22" customWidth="1"/>
    <col min="13" max="13" width="22.28515625" bestFit="1" customWidth="1"/>
    <col min="14" max="14" width="22.42578125" bestFit="1" customWidth="1"/>
    <col min="15" max="15" width="22" bestFit="1" customWidth="1"/>
    <col min="16" max="16" width="21.7109375" bestFit="1" customWidth="1"/>
    <col min="17" max="17" width="21.42578125" bestFit="1" customWidth="1"/>
    <col min="18" max="18" width="21.7109375" bestFit="1" customWidth="1"/>
    <col min="19" max="19" width="23.5703125" bestFit="1" customWidth="1"/>
    <col min="20" max="20" width="24" bestFit="1" customWidth="1"/>
    <col min="21" max="21" width="24.28515625" bestFit="1" customWidth="1"/>
    <col min="22" max="22" width="24" bestFit="1" customWidth="1"/>
    <col min="23" max="23" width="23.5703125" bestFit="1" customWidth="1"/>
    <col min="24" max="25" width="24.28515625" bestFit="1" customWidth="1"/>
    <col min="26" max="26" width="24" bestFit="1" customWidth="1"/>
    <col min="27" max="27" width="24.28515625" bestFit="1" customWidth="1"/>
    <col min="28" max="28" width="24" bestFit="1" customWidth="1"/>
    <col min="29" max="29" width="23.5703125" bestFit="1" customWidth="1"/>
    <col min="30" max="30" width="23.7109375" bestFit="1" customWidth="1"/>
    <col min="31" max="31" width="24.85546875" bestFit="1" customWidth="1"/>
    <col min="32" max="32" width="24.5703125" bestFit="1" customWidth="1"/>
    <col min="33" max="34" width="24.85546875" bestFit="1" customWidth="1"/>
    <col min="35" max="35" width="23.7109375" bestFit="1" customWidth="1"/>
    <col min="36" max="36" width="24.5703125" bestFit="1" customWidth="1"/>
    <col min="37" max="37" width="23.7109375" bestFit="1" customWidth="1"/>
    <col min="38" max="38" width="24.28515625" bestFit="1" customWidth="1"/>
    <col min="39" max="40" width="24" bestFit="1" customWidth="1"/>
    <col min="41" max="42" width="24.85546875" bestFit="1" customWidth="1"/>
    <col min="43" max="43" width="24" bestFit="1" customWidth="1"/>
    <col min="44" max="44" width="24.28515625" bestFit="1" customWidth="1"/>
    <col min="45" max="45" width="24" bestFit="1" customWidth="1"/>
    <col min="46" max="46" width="23.7109375" bestFit="1" customWidth="1"/>
    <col min="47" max="47" width="24" bestFit="1" customWidth="1"/>
    <col min="48" max="48" width="24.5703125" bestFit="1" customWidth="1"/>
    <col min="49" max="49" width="24" bestFit="1" customWidth="1"/>
    <col min="50" max="50" width="23.7109375" bestFit="1" customWidth="1"/>
    <col min="51" max="54" width="24.28515625" bestFit="1" customWidth="1"/>
    <col min="55" max="55" width="22.7109375" bestFit="1" customWidth="1"/>
    <col min="56" max="56" width="24.28515625" bestFit="1" customWidth="1"/>
    <col min="57" max="57" width="23.5703125" bestFit="1" customWidth="1"/>
    <col min="58" max="58" width="24.28515625" bestFit="1" customWidth="1"/>
    <col min="59" max="59" width="24" bestFit="1" customWidth="1"/>
    <col min="60" max="60" width="24.5703125" bestFit="1" customWidth="1"/>
    <col min="61" max="61" width="24" bestFit="1" customWidth="1"/>
    <col min="62" max="83" width="18.42578125" bestFit="1" customWidth="1"/>
    <col min="84" max="84" width="17" customWidth="1"/>
    <col min="85" max="85" width="21.140625" customWidth="1"/>
  </cols>
  <sheetData>
    <row r="1" spans="1:131" s="16" customFormat="1" ht="18">
      <c r="A1" s="225" t="s">
        <v>103</v>
      </c>
      <c r="B1" s="225"/>
      <c r="C1" s="22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</row>
    <row r="2" spans="1:131" s="16" customFormat="1">
      <c r="A2" s="5" t="str">
        <f>CONCATENATE(Company, ": ",start, " -  ",end)</f>
        <v>Crush: Mês 1 -  Mês 60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pans="1:131" s="19" customFormat="1" ht="1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</row>
    <row r="4" spans="1:131" s="68" customFormat="1" ht="15.75">
      <c r="A4" s="75" t="s">
        <v>24</v>
      </c>
      <c r="B4" s="76">
        <v>1</v>
      </c>
      <c r="C4" s="76">
        <v>2</v>
      </c>
      <c r="D4" s="76">
        <v>3</v>
      </c>
      <c r="E4" s="76">
        <v>4</v>
      </c>
      <c r="F4" s="76">
        <v>5</v>
      </c>
      <c r="G4" s="76">
        <v>6</v>
      </c>
      <c r="H4" s="76">
        <v>7</v>
      </c>
      <c r="I4" s="76">
        <v>8</v>
      </c>
      <c r="J4" s="76">
        <v>9</v>
      </c>
      <c r="K4" s="76">
        <v>10</v>
      </c>
      <c r="L4" s="76">
        <v>11</v>
      </c>
      <c r="M4" s="76">
        <v>12</v>
      </c>
      <c r="N4" s="76">
        <v>13</v>
      </c>
      <c r="O4" s="76">
        <v>14</v>
      </c>
      <c r="P4" s="76">
        <v>15</v>
      </c>
      <c r="Q4" s="76">
        <v>16</v>
      </c>
      <c r="R4" s="76">
        <v>17</v>
      </c>
      <c r="S4" s="76">
        <v>18</v>
      </c>
      <c r="T4" s="76">
        <v>19</v>
      </c>
      <c r="U4" s="76">
        <v>20</v>
      </c>
      <c r="V4" s="76">
        <v>21</v>
      </c>
      <c r="W4" s="76">
        <v>22</v>
      </c>
      <c r="X4" s="76">
        <v>23</v>
      </c>
      <c r="Y4" s="76">
        <v>24</v>
      </c>
      <c r="Z4" s="76">
        <v>25</v>
      </c>
      <c r="AA4" s="76">
        <v>26</v>
      </c>
      <c r="AB4" s="76">
        <v>27</v>
      </c>
      <c r="AC4" s="76">
        <v>28</v>
      </c>
      <c r="AD4" s="76">
        <v>29</v>
      </c>
      <c r="AE4" s="76">
        <v>30</v>
      </c>
      <c r="AF4" s="76">
        <v>31</v>
      </c>
      <c r="AG4" s="76">
        <v>32</v>
      </c>
      <c r="AH4" s="76">
        <v>33</v>
      </c>
      <c r="AI4" s="76">
        <v>34</v>
      </c>
      <c r="AJ4" s="76">
        <v>35</v>
      </c>
      <c r="AK4" s="76">
        <v>36</v>
      </c>
      <c r="AL4" s="76">
        <v>37</v>
      </c>
      <c r="AM4" s="76">
        <v>38</v>
      </c>
      <c r="AN4" s="76">
        <v>39</v>
      </c>
      <c r="AO4" s="76">
        <v>40</v>
      </c>
      <c r="AP4" s="76">
        <v>41</v>
      </c>
      <c r="AQ4" s="76">
        <v>42</v>
      </c>
      <c r="AR4" s="76">
        <v>43</v>
      </c>
      <c r="AS4" s="76">
        <v>44</v>
      </c>
      <c r="AT4" s="76">
        <v>45</v>
      </c>
      <c r="AU4" s="76">
        <v>46</v>
      </c>
      <c r="AV4" s="76">
        <v>47</v>
      </c>
      <c r="AW4" s="76">
        <v>48</v>
      </c>
      <c r="AX4" s="76">
        <v>49</v>
      </c>
      <c r="AY4" s="76">
        <v>50</v>
      </c>
      <c r="AZ4" s="76">
        <v>51</v>
      </c>
      <c r="BA4" s="76">
        <v>52</v>
      </c>
      <c r="BB4" s="76">
        <v>53</v>
      </c>
      <c r="BC4" s="76">
        <v>54</v>
      </c>
      <c r="BD4" s="76">
        <v>55</v>
      </c>
      <c r="BE4" s="76">
        <v>56</v>
      </c>
      <c r="BF4" s="76">
        <v>57</v>
      </c>
      <c r="BG4" s="76">
        <v>58</v>
      </c>
      <c r="BH4" s="76">
        <v>59</v>
      </c>
      <c r="BI4" s="76">
        <v>60</v>
      </c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</row>
    <row r="5" spans="1:131" s="34" customFormat="1">
      <c r="A5" s="184" t="s">
        <v>125</v>
      </c>
      <c r="B5" s="84">
        <f>Receita!B5</f>
        <v>199.5</v>
      </c>
      <c r="C5" s="84">
        <f>Receita!C5</f>
        <v>199.5</v>
      </c>
      <c r="D5" s="84">
        <f>Receita!D5</f>
        <v>199.5</v>
      </c>
      <c r="E5" s="84">
        <f>Receita!E5</f>
        <v>199.5</v>
      </c>
      <c r="F5" s="84">
        <f>Receita!F5</f>
        <v>199.5</v>
      </c>
      <c r="G5" s="84">
        <f>Receita!G5</f>
        <v>199.5</v>
      </c>
      <c r="H5" s="84">
        <f>Receita!H5</f>
        <v>199.5</v>
      </c>
      <c r="I5" s="84">
        <f>Receita!I5</f>
        <v>199.5</v>
      </c>
      <c r="J5" s="84">
        <f>Receita!J5</f>
        <v>199.5</v>
      </c>
      <c r="K5" s="84">
        <f>Receita!K5</f>
        <v>199.5</v>
      </c>
      <c r="L5" s="84">
        <f>Receita!L5</f>
        <v>199.5</v>
      </c>
      <c r="M5" s="84">
        <f>Receita!M5</f>
        <v>199.5</v>
      </c>
      <c r="N5" s="84">
        <f>Receita!N5</f>
        <v>798</v>
      </c>
      <c r="O5" s="84">
        <f>Receita!O5</f>
        <v>798</v>
      </c>
      <c r="P5" s="84">
        <f>Receita!P5</f>
        <v>798</v>
      </c>
      <c r="Q5" s="84">
        <f>Receita!Q5</f>
        <v>798</v>
      </c>
      <c r="R5" s="84">
        <f>Receita!R5</f>
        <v>798</v>
      </c>
      <c r="S5" s="84">
        <f>Receita!S5</f>
        <v>798</v>
      </c>
      <c r="T5" s="84">
        <f>Receita!T5</f>
        <v>798</v>
      </c>
      <c r="U5" s="84">
        <f>Receita!U5</f>
        <v>798</v>
      </c>
      <c r="V5" s="84">
        <f>Receita!V5</f>
        <v>798</v>
      </c>
      <c r="W5" s="84">
        <f>Receita!W5</f>
        <v>798</v>
      </c>
      <c r="X5" s="84">
        <f>Receita!X5</f>
        <v>798</v>
      </c>
      <c r="Y5" s="84">
        <f>Receita!Y5</f>
        <v>798</v>
      </c>
      <c r="Z5" s="84">
        <f>Receita!Z5</f>
        <v>2493.75</v>
      </c>
      <c r="AA5" s="84">
        <f>Receita!AA5</f>
        <v>2493.75</v>
      </c>
      <c r="AB5" s="84">
        <f>Receita!AB5</f>
        <v>2493.75</v>
      </c>
      <c r="AC5" s="84">
        <f>Receita!AC5</f>
        <v>2493.75</v>
      </c>
      <c r="AD5" s="84">
        <f>Receita!AD5</f>
        <v>2493.75</v>
      </c>
      <c r="AE5" s="84">
        <f>Receita!AE5</f>
        <v>2493.75</v>
      </c>
      <c r="AF5" s="84">
        <f>Receita!AF5</f>
        <v>2493.75</v>
      </c>
      <c r="AG5" s="84">
        <f>Receita!AG5</f>
        <v>2493.75</v>
      </c>
      <c r="AH5" s="84">
        <f>Receita!AH5</f>
        <v>2493.75</v>
      </c>
      <c r="AI5" s="84">
        <f>Receita!AI5</f>
        <v>2493.75</v>
      </c>
      <c r="AJ5" s="84">
        <f>Receita!AJ5</f>
        <v>2493.75</v>
      </c>
      <c r="AK5" s="84">
        <f>Receita!AK5</f>
        <v>2493.75</v>
      </c>
      <c r="AL5" s="84">
        <f>Receita!AL5</f>
        <v>3989.9999999999995</v>
      </c>
      <c r="AM5" s="84">
        <f>Receita!AM5</f>
        <v>3989.9999999999995</v>
      </c>
      <c r="AN5" s="84">
        <f>Receita!AN5</f>
        <v>3989.9999999999995</v>
      </c>
      <c r="AO5" s="84">
        <f>Receita!AO5</f>
        <v>3989.9999999999995</v>
      </c>
      <c r="AP5" s="84">
        <f>Receita!AP5</f>
        <v>3989.9999999999995</v>
      </c>
      <c r="AQ5" s="84">
        <f>Receita!AQ5</f>
        <v>3989.9999999999995</v>
      </c>
      <c r="AR5" s="84">
        <f>Receita!AR5</f>
        <v>3989.9999999999995</v>
      </c>
      <c r="AS5" s="84">
        <f>Receita!AS5</f>
        <v>3989.9999999999995</v>
      </c>
      <c r="AT5" s="84">
        <f>Receita!AT5</f>
        <v>3989.9999999999995</v>
      </c>
      <c r="AU5" s="84">
        <f>Receita!AU5</f>
        <v>3989.9999999999995</v>
      </c>
      <c r="AV5" s="84">
        <f>Receita!AV5</f>
        <v>3989.9999999999995</v>
      </c>
      <c r="AW5" s="84">
        <f>Receita!AW5</f>
        <v>3989.9999999999995</v>
      </c>
      <c r="AX5" s="84">
        <f>Receita!AX5</f>
        <v>6650</v>
      </c>
      <c r="AY5" s="84">
        <f>Receita!AY5</f>
        <v>6650</v>
      </c>
      <c r="AZ5" s="84">
        <f>Receita!AZ5</f>
        <v>6650</v>
      </c>
      <c r="BA5" s="84">
        <f>Receita!BA5</f>
        <v>6650</v>
      </c>
      <c r="BB5" s="84">
        <f>Receita!BB5</f>
        <v>6650</v>
      </c>
      <c r="BC5" s="84">
        <f>Receita!BC5</f>
        <v>6650</v>
      </c>
      <c r="BD5" s="84">
        <f>Receita!BD5</f>
        <v>6650</v>
      </c>
      <c r="BE5" s="84">
        <f>Receita!BE5</f>
        <v>6650</v>
      </c>
      <c r="BF5" s="84">
        <f>Receita!BF5</f>
        <v>6650</v>
      </c>
      <c r="BG5" s="84">
        <f>Receita!BG5</f>
        <v>6650</v>
      </c>
      <c r="BH5" s="84">
        <f>Receita!BH5</f>
        <v>6650</v>
      </c>
      <c r="BI5" s="84">
        <f>Receita!BI5</f>
        <v>6650</v>
      </c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</row>
    <row r="6" spans="1:131" s="34" customFormat="1">
      <c r="A6" s="184" t="s">
        <v>169</v>
      </c>
      <c r="B6" s="84">
        <f>Receita!B6</f>
        <v>199.5</v>
      </c>
      <c r="C6" s="84">
        <f>Receita!C6</f>
        <v>199.5</v>
      </c>
      <c r="D6" s="84">
        <f>Receita!D6</f>
        <v>199.5</v>
      </c>
      <c r="E6" s="84">
        <f>Receita!E6</f>
        <v>199.5</v>
      </c>
      <c r="F6" s="84">
        <f>Receita!F6</f>
        <v>199.5</v>
      </c>
      <c r="G6" s="84">
        <f>Receita!G6</f>
        <v>199.5</v>
      </c>
      <c r="H6" s="84">
        <f>Receita!H6</f>
        <v>199.5</v>
      </c>
      <c r="I6" s="84">
        <f>Receita!I6</f>
        <v>199.5</v>
      </c>
      <c r="J6" s="84">
        <f>Receita!J6</f>
        <v>199.5</v>
      </c>
      <c r="K6" s="84">
        <f>Receita!K6</f>
        <v>199.5</v>
      </c>
      <c r="L6" s="84">
        <f>Receita!L6</f>
        <v>199.5</v>
      </c>
      <c r="M6" s="84">
        <f>Receita!M6</f>
        <v>199.5</v>
      </c>
      <c r="N6" s="84">
        <f>Receita!N6</f>
        <v>798</v>
      </c>
      <c r="O6" s="84">
        <f>Receita!O6</f>
        <v>798</v>
      </c>
      <c r="P6" s="84">
        <f>Receita!P6</f>
        <v>798</v>
      </c>
      <c r="Q6" s="84">
        <f>Receita!Q6</f>
        <v>798</v>
      </c>
      <c r="R6" s="84">
        <f>Receita!R6</f>
        <v>798</v>
      </c>
      <c r="S6" s="84">
        <f>Receita!S6</f>
        <v>798</v>
      </c>
      <c r="T6" s="84">
        <f>Receita!T6</f>
        <v>798</v>
      </c>
      <c r="U6" s="84">
        <f>Receita!U6</f>
        <v>798</v>
      </c>
      <c r="V6" s="84">
        <f>Receita!V6</f>
        <v>798</v>
      </c>
      <c r="W6" s="84">
        <f>Receita!W6</f>
        <v>798</v>
      </c>
      <c r="X6" s="84">
        <f>Receita!X6</f>
        <v>798</v>
      </c>
      <c r="Y6" s="84">
        <f>Receita!Y6</f>
        <v>798</v>
      </c>
      <c r="Z6" s="84">
        <f>Receita!Z6</f>
        <v>2493.75</v>
      </c>
      <c r="AA6" s="84">
        <f>Receita!AA6</f>
        <v>2493.75</v>
      </c>
      <c r="AB6" s="84">
        <f>Receita!AB6</f>
        <v>2493.75</v>
      </c>
      <c r="AC6" s="84">
        <f>Receita!AC6</f>
        <v>2493.75</v>
      </c>
      <c r="AD6" s="84">
        <f>Receita!AD6</f>
        <v>2493.75</v>
      </c>
      <c r="AE6" s="84">
        <f>Receita!AE6</f>
        <v>2493.75</v>
      </c>
      <c r="AF6" s="84">
        <f>Receita!AF6</f>
        <v>2493.75</v>
      </c>
      <c r="AG6" s="84">
        <f>Receita!AG6</f>
        <v>2493.75</v>
      </c>
      <c r="AH6" s="84">
        <f>Receita!AH6</f>
        <v>2493.75</v>
      </c>
      <c r="AI6" s="84">
        <f>Receita!AI6</f>
        <v>2493.75</v>
      </c>
      <c r="AJ6" s="84">
        <f>Receita!AJ6</f>
        <v>2493.75</v>
      </c>
      <c r="AK6" s="84">
        <f>Receita!AK6</f>
        <v>2493.75</v>
      </c>
      <c r="AL6" s="84">
        <f>Receita!AL6</f>
        <v>3989.9999999999995</v>
      </c>
      <c r="AM6" s="84">
        <f>Receita!AM6</f>
        <v>3989.9999999999995</v>
      </c>
      <c r="AN6" s="84">
        <f>Receita!AN6</f>
        <v>3989.9999999999995</v>
      </c>
      <c r="AO6" s="84">
        <f>Receita!AO6</f>
        <v>3989.9999999999995</v>
      </c>
      <c r="AP6" s="84">
        <f>Receita!AP6</f>
        <v>3989.9999999999995</v>
      </c>
      <c r="AQ6" s="84">
        <f>Receita!AQ6</f>
        <v>3989.9999999999995</v>
      </c>
      <c r="AR6" s="84">
        <f>Receita!AR6</f>
        <v>3989.9999999999995</v>
      </c>
      <c r="AS6" s="84">
        <f>Receita!AS6</f>
        <v>3989.9999999999995</v>
      </c>
      <c r="AT6" s="84">
        <f>Receita!AT6</f>
        <v>3989.9999999999995</v>
      </c>
      <c r="AU6" s="84">
        <f>Receita!AU6</f>
        <v>3989.9999999999995</v>
      </c>
      <c r="AV6" s="84">
        <f>Receita!AV6</f>
        <v>3989.9999999999995</v>
      </c>
      <c r="AW6" s="84">
        <f>Receita!AW6</f>
        <v>3989.9999999999995</v>
      </c>
      <c r="AX6" s="84">
        <f>Receita!AX6</f>
        <v>6650</v>
      </c>
      <c r="AY6" s="84">
        <f>Receita!AY6</f>
        <v>6650</v>
      </c>
      <c r="AZ6" s="84">
        <f>Receita!AZ6</f>
        <v>6650</v>
      </c>
      <c r="BA6" s="84">
        <f>Receita!BA6</f>
        <v>6650</v>
      </c>
      <c r="BB6" s="84">
        <f>Receita!BB6</f>
        <v>6650</v>
      </c>
      <c r="BC6" s="84">
        <f>Receita!BC6</f>
        <v>6650</v>
      </c>
      <c r="BD6" s="84">
        <f>Receita!BD6</f>
        <v>6650</v>
      </c>
      <c r="BE6" s="84">
        <f>Receita!BE6</f>
        <v>6650</v>
      </c>
      <c r="BF6" s="84">
        <f>Receita!BF6</f>
        <v>6650</v>
      </c>
      <c r="BG6" s="84">
        <f>Receita!BG6</f>
        <v>6650</v>
      </c>
      <c r="BH6" s="84">
        <f>Receita!BH6</f>
        <v>6650</v>
      </c>
      <c r="BI6" s="84">
        <f>Receita!BI6</f>
        <v>6650</v>
      </c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</row>
    <row r="7" spans="1:131" s="21" customFormat="1">
      <c r="A7" s="184" t="s">
        <v>137</v>
      </c>
      <c r="B7" s="84">
        <f>Receita!B7</f>
        <v>42000</v>
      </c>
      <c r="C7" s="84">
        <f>Receita!C7</f>
        <v>42000</v>
      </c>
      <c r="D7" s="84">
        <f>Receita!D7</f>
        <v>42000</v>
      </c>
      <c r="E7" s="84">
        <f>Receita!E7</f>
        <v>42000</v>
      </c>
      <c r="F7" s="84">
        <f>Receita!F7</f>
        <v>42000</v>
      </c>
      <c r="G7" s="84">
        <f>Receita!G7</f>
        <v>42000</v>
      </c>
      <c r="H7" s="84">
        <f>Receita!H7</f>
        <v>42000</v>
      </c>
      <c r="I7" s="84">
        <f>Receita!I7</f>
        <v>42000</v>
      </c>
      <c r="J7" s="84">
        <f>Receita!J7</f>
        <v>42000</v>
      </c>
      <c r="K7" s="84">
        <f>Receita!K7</f>
        <v>42000</v>
      </c>
      <c r="L7" s="84">
        <f>Receita!L7</f>
        <v>42000</v>
      </c>
      <c r="M7" s="84">
        <f>Receita!M7</f>
        <v>42000</v>
      </c>
      <c r="N7" s="84">
        <f>Receita!N7</f>
        <v>112000</v>
      </c>
      <c r="O7" s="84">
        <f>Receita!O7</f>
        <v>112000</v>
      </c>
      <c r="P7" s="84">
        <f>Receita!P7</f>
        <v>112000</v>
      </c>
      <c r="Q7" s="84">
        <f>Receita!Q7</f>
        <v>112000</v>
      </c>
      <c r="R7" s="84">
        <f>Receita!R7</f>
        <v>112000</v>
      </c>
      <c r="S7" s="84">
        <f>Receita!S7</f>
        <v>112000</v>
      </c>
      <c r="T7" s="84">
        <f>Receita!T7</f>
        <v>112000</v>
      </c>
      <c r="U7" s="84">
        <f>Receita!U7</f>
        <v>112000</v>
      </c>
      <c r="V7" s="84">
        <f>Receita!V7</f>
        <v>112000</v>
      </c>
      <c r="W7" s="84">
        <f>Receita!W7</f>
        <v>112000</v>
      </c>
      <c r="X7" s="84">
        <f>Receita!X7</f>
        <v>112000</v>
      </c>
      <c r="Y7" s="84">
        <f>Receita!Y7</f>
        <v>112000</v>
      </c>
      <c r="Z7" s="84">
        <f>Receita!Z7</f>
        <v>210000</v>
      </c>
      <c r="AA7" s="84">
        <f>Receita!AA7</f>
        <v>210000</v>
      </c>
      <c r="AB7" s="84">
        <f>Receita!AB7</f>
        <v>210000</v>
      </c>
      <c r="AC7" s="84">
        <f>Receita!AC7</f>
        <v>210000</v>
      </c>
      <c r="AD7" s="84">
        <f>Receita!AD7</f>
        <v>210000</v>
      </c>
      <c r="AE7" s="84">
        <f>Receita!AE7</f>
        <v>210000</v>
      </c>
      <c r="AF7" s="84">
        <f>Receita!AF7</f>
        <v>210000</v>
      </c>
      <c r="AG7" s="84">
        <f>Receita!AG7</f>
        <v>210000</v>
      </c>
      <c r="AH7" s="84">
        <f>Receita!AH7</f>
        <v>210000</v>
      </c>
      <c r="AI7" s="84">
        <f>Receita!AI7</f>
        <v>210000</v>
      </c>
      <c r="AJ7" s="84">
        <f>Receita!AJ7</f>
        <v>210000</v>
      </c>
      <c r="AK7" s="84">
        <f>Receita!AK7</f>
        <v>210000</v>
      </c>
      <c r="AL7" s="84">
        <f>Receita!AL7</f>
        <v>336000</v>
      </c>
      <c r="AM7" s="84">
        <f>Receita!AM7</f>
        <v>336000</v>
      </c>
      <c r="AN7" s="84">
        <f>Receita!AN7</f>
        <v>336000</v>
      </c>
      <c r="AO7" s="84">
        <f>Receita!AO7</f>
        <v>336000</v>
      </c>
      <c r="AP7" s="84">
        <f>Receita!AP7</f>
        <v>336000</v>
      </c>
      <c r="AQ7" s="84">
        <f>Receita!AQ7</f>
        <v>336000</v>
      </c>
      <c r="AR7" s="84">
        <f>Receita!AR7</f>
        <v>336000</v>
      </c>
      <c r="AS7" s="84">
        <f>Receita!AS7</f>
        <v>336000</v>
      </c>
      <c r="AT7" s="84">
        <f>Receita!AT7</f>
        <v>336000</v>
      </c>
      <c r="AU7" s="84">
        <f>Receita!AU7</f>
        <v>336000</v>
      </c>
      <c r="AV7" s="84">
        <f>Receita!AV7</f>
        <v>336000</v>
      </c>
      <c r="AW7" s="84">
        <f>Receita!AW7</f>
        <v>336000</v>
      </c>
      <c r="AX7" s="84">
        <f>Receita!AX7</f>
        <v>448000</v>
      </c>
      <c r="AY7" s="84">
        <f>Receita!AY7</f>
        <v>448000</v>
      </c>
      <c r="AZ7" s="84">
        <f>Receita!AZ7</f>
        <v>448000</v>
      </c>
      <c r="BA7" s="84">
        <f>Receita!BA7</f>
        <v>448000</v>
      </c>
      <c r="BB7" s="84">
        <f>Receita!BB7</f>
        <v>448000</v>
      </c>
      <c r="BC7" s="84">
        <f>Receita!BC7</f>
        <v>448000</v>
      </c>
      <c r="BD7" s="84">
        <f>Receita!BD7</f>
        <v>448000</v>
      </c>
      <c r="BE7" s="84">
        <f>Receita!BE7</f>
        <v>448000</v>
      </c>
      <c r="BF7" s="84">
        <f>Receita!BF7</f>
        <v>448000</v>
      </c>
      <c r="BG7" s="84">
        <f>Receita!BG7</f>
        <v>448000</v>
      </c>
      <c r="BH7" s="84">
        <f>Receita!BH7</f>
        <v>448000</v>
      </c>
      <c r="BI7" s="84">
        <f>Receita!BI7</f>
        <v>448000</v>
      </c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</row>
    <row r="8" spans="1:131" s="21" customFormat="1">
      <c r="A8" s="184" t="s">
        <v>138</v>
      </c>
      <c r="B8" s="84">
        <f>Receita!B8</f>
        <v>7560</v>
      </c>
      <c r="C8" s="84">
        <f>Receita!C8</f>
        <v>7560</v>
      </c>
      <c r="D8" s="84">
        <f>Receita!D8</f>
        <v>7560</v>
      </c>
      <c r="E8" s="84">
        <f>Receita!E8</f>
        <v>7560</v>
      </c>
      <c r="F8" s="84">
        <f>Receita!F8</f>
        <v>7560</v>
      </c>
      <c r="G8" s="84">
        <f>Receita!G8</f>
        <v>7560</v>
      </c>
      <c r="H8" s="84">
        <f>Receita!H8</f>
        <v>7560</v>
      </c>
      <c r="I8" s="84">
        <f>Receita!I8</f>
        <v>7560</v>
      </c>
      <c r="J8" s="84">
        <f>Receita!J8</f>
        <v>7560</v>
      </c>
      <c r="K8" s="84">
        <f>Receita!K8</f>
        <v>7560</v>
      </c>
      <c r="L8" s="84">
        <f>Receita!L8</f>
        <v>7560</v>
      </c>
      <c r="M8" s="84">
        <f>Receita!M8</f>
        <v>7560</v>
      </c>
      <c r="N8" s="84">
        <f>Receita!N8</f>
        <v>20160</v>
      </c>
      <c r="O8" s="84">
        <f>Receita!O8</f>
        <v>20160</v>
      </c>
      <c r="P8" s="84">
        <f>Receita!P8</f>
        <v>20160</v>
      </c>
      <c r="Q8" s="84">
        <f>Receita!Q8</f>
        <v>20160</v>
      </c>
      <c r="R8" s="84">
        <f>Receita!R8</f>
        <v>20160</v>
      </c>
      <c r="S8" s="84">
        <f>Receita!S8</f>
        <v>20160</v>
      </c>
      <c r="T8" s="84">
        <f>Receita!T8</f>
        <v>20160</v>
      </c>
      <c r="U8" s="84">
        <f>Receita!U8</f>
        <v>20160</v>
      </c>
      <c r="V8" s="84">
        <f>Receita!V8</f>
        <v>20160</v>
      </c>
      <c r="W8" s="84">
        <f>Receita!W8</f>
        <v>20160</v>
      </c>
      <c r="X8" s="84">
        <f>Receita!X8</f>
        <v>20160</v>
      </c>
      <c r="Y8" s="84">
        <f>Receita!Y8</f>
        <v>20160</v>
      </c>
      <c r="Z8" s="84">
        <f>Receita!Z8</f>
        <v>37800</v>
      </c>
      <c r="AA8" s="84">
        <f>Receita!AA8</f>
        <v>37800</v>
      </c>
      <c r="AB8" s="84">
        <f>Receita!AB8</f>
        <v>37800</v>
      </c>
      <c r="AC8" s="84">
        <f>Receita!AC8</f>
        <v>37800</v>
      </c>
      <c r="AD8" s="84">
        <f>Receita!AD8</f>
        <v>37800</v>
      </c>
      <c r="AE8" s="84">
        <f>Receita!AE8</f>
        <v>37800</v>
      </c>
      <c r="AF8" s="84">
        <f>Receita!AF8</f>
        <v>37800</v>
      </c>
      <c r="AG8" s="84">
        <f>Receita!AG8</f>
        <v>37800</v>
      </c>
      <c r="AH8" s="84">
        <f>Receita!AH8</f>
        <v>37800</v>
      </c>
      <c r="AI8" s="84">
        <f>Receita!AI8</f>
        <v>37800</v>
      </c>
      <c r="AJ8" s="84">
        <f>Receita!AJ8</f>
        <v>37800</v>
      </c>
      <c r="AK8" s="84">
        <f>Receita!AK8</f>
        <v>37800</v>
      </c>
      <c r="AL8" s="84">
        <f>Receita!AL8</f>
        <v>60480</v>
      </c>
      <c r="AM8" s="84">
        <f>Receita!AM8</f>
        <v>60480</v>
      </c>
      <c r="AN8" s="84">
        <f>Receita!AN8</f>
        <v>60480</v>
      </c>
      <c r="AO8" s="84">
        <f>Receita!AO8</f>
        <v>60480</v>
      </c>
      <c r="AP8" s="84">
        <f>Receita!AP8</f>
        <v>60480</v>
      </c>
      <c r="AQ8" s="84">
        <f>Receita!AQ8</f>
        <v>60480</v>
      </c>
      <c r="AR8" s="84">
        <f>Receita!AR8</f>
        <v>60480</v>
      </c>
      <c r="AS8" s="84">
        <f>Receita!AS8</f>
        <v>60480</v>
      </c>
      <c r="AT8" s="84">
        <f>Receita!AT8</f>
        <v>60480</v>
      </c>
      <c r="AU8" s="84">
        <f>Receita!AU8</f>
        <v>60480</v>
      </c>
      <c r="AV8" s="84">
        <f>Receita!AV8</f>
        <v>60480</v>
      </c>
      <c r="AW8" s="84">
        <f>Receita!AW8</f>
        <v>60480</v>
      </c>
      <c r="AX8" s="84">
        <f>Receita!AX8</f>
        <v>80640</v>
      </c>
      <c r="AY8" s="84">
        <f>Receita!AY8</f>
        <v>80640</v>
      </c>
      <c r="AZ8" s="84">
        <f>Receita!AZ8</f>
        <v>80640</v>
      </c>
      <c r="BA8" s="84">
        <f>Receita!BA8</f>
        <v>80640</v>
      </c>
      <c r="BB8" s="84">
        <f>Receita!BB8</f>
        <v>80640</v>
      </c>
      <c r="BC8" s="84">
        <f>Receita!BC8</f>
        <v>80640</v>
      </c>
      <c r="BD8" s="84">
        <f>Receita!BD8</f>
        <v>80640</v>
      </c>
      <c r="BE8" s="84">
        <f>Receita!BE8</f>
        <v>80640</v>
      </c>
      <c r="BF8" s="84">
        <f>Receita!BF8</f>
        <v>80640</v>
      </c>
      <c r="BG8" s="84">
        <f>Receita!BG8</f>
        <v>80640</v>
      </c>
      <c r="BH8" s="84">
        <f>Receita!BH8</f>
        <v>80640</v>
      </c>
      <c r="BI8" s="84">
        <f>Receita!BI8</f>
        <v>80640</v>
      </c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</row>
    <row r="9" spans="1:131" s="21" customFormat="1">
      <c r="A9" s="184" t="s">
        <v>139</v>
      </c>
      <c r="B9" s="84">
        <f>Receita!B9</f>
        <v>1260</v>
      </c>
      <c r="C9" s="84">
        <f>Receita!C9</f>
        <v>1260</v>
      </c>
      <c r="D9" s="84">
        <f>Receita!D9</f>
        <v>1260</v>
      </c>
      <c r="E9" s="84">
        <f>Receita!E9</f>
        <v>1260</v>
      </c>
      <c r="F9" s="84">
        <f>Receita!F9</f>
        <v>1260</v>
      </c>
      <c r="G9" s="84">
        <f>Receita!G9</f>
        <v>1260</v>
      </c>
      <c r="H9" s="84">
        <f>Receita!H9</f>
        <v>1260</v>
      </c>
      <c r="I9" s="84">
        <f>Receita!I9</f>
        <v>1260</v>
      </c>
      <c r="J9" s="84">
        <f>Receita!J9</f>
        <v>1260</v>
      </c>
      <c r="K9" s="84">
        <f>Receita!K9</f>
        <v>1260</v>
      </c>
      <c r="L9" s="84">
        <f>Receita!L9</f>
        <v>1260</v>
      </c>
      <c r="M9" s="84">
        <f>Receita!M9</f>
        <v>1260</v>
      </c>
      <c r="N9" s="84">
        <f>Receita!N9</f>
        <v>3360</v>
      </c>
      <c r="O9" s="84">
        <f>Receita!O9</f>
        <v>3360</v>
      </c>
      <c r="P9" s="84">
        <f>Receita!P9</f>
        <v>3360</v>
      </c>
      <c r="Q9" s="84">
        <f>Receita!Q9</f>
        <v>3360</v>
      </c>
      <c r="R9" s="84">
        <f>Receita!R9</f>
        <v>3360</v>
      </c>
      <c r="S9" s="84">
        <f>Receita!S9</f>
        <v>3360</v>
      </c>
      <c r="T9" s="84">
        <f>Receita!T9</f>
        <v>3360</v>
      </c>
      <c r="U9" s="84">
        <f>Receita!U9</f>
        <v>3360</v>
      </c>
      <c r="V9" s="84">
        <f>Receita!V9</f>
        <v>3360</v>
      </c>
      <c r="W9" s="84">
        <f>Receita!W9</f>
        <v>3360</v>
      </c>
      <c r="X9" s="84">
        <f>Receita!X9</f>
        <v>3360</v>
      </c>
      <c r="Y9" s="84">
        <f>Receita!Y9</f>
        <v>3360</v>
      </c>
      <c r="Z9" s="84">
        <f>Receita!Z9</f>
        <v>6300</v>
      </c>
      <c r="AA9" s="84">
        <f>Receita!AA9</f>
        <v>6300</v>
      </c>
      <c r="AB9" s="84">
        <f>Receita!AB9</f>
        <v>6300</v>
      </c>
      <c r="AC9" s="84">
        <f>Receita!AC9</f>
        <v>6300</v>
      </c>
      <c r="AD9" s="84">
        <f>Receita!AD9</f>
        <v>6300</v>
      </c>
      <c r="AE9" s="84">
        <f>Receita!AE9</f>
        <v>6300</v>
      </c>
      <c r="AF9" s="84">
        <f>Receita!AF9</f>
        <v>6300</v>
      </c>
      <c r="AG9" s="84">
        <f>Receita!AG9</f>
        <v>6300</v>
      </c>
      <c r="AH9" s="84">
        <f>Receita!AH9</f>
        <v>6300</v>
      </c>
      <c r="AI9" s="84">
        <f>Receita!AI9</f>
        <v>6300</v>
      </c>
      <c r="AJ9" s="84">
        <f>Receita!AJ9</f>
        <v>6300</v>
      </c>
      <c r="AK9" s="84">
        <f>Receita!AK9</f>
        <v>6300</v>
      </c>
      <c r="AL9" s="84">
        <f>Receita!AL9</f>
        <v>10080</v>
      </c>
      <c r="AM9" s="84">
        <f>Receita!AM9</f>
        <v>10080</v>
      </c>
      <c r="AN9" s="84">
        <f>Receita!AN9</f>
        <v>10080</v>
      </c>
      <c r="AO9" s="84">
        <f>Receita!AO9</f>
        <v>10080</v>
      </c>
      <c r="AP9" s="84">
        <f>Receita!AP9</f>
        <v>10080</v>
      </c>
      <c r="AQ9" s="84">
        <f>Receita!AQ9</f>
        <v>10080</v>
      </c>
      <c r="AR9" s="84">
        <f>Receita!AR9</f>
        <v>10080</v>
      </c>
      <c r="AS9" s="84">
        <f>Receita!AS9</f>
        <v>10080</v>
      </c>
      <c r="AT9" s="84">
        <f>Receita!AT9</f>
        <v>10080</v>
      </c>
      <c r="AU9" s="84">
        <f>Receita!AU9</f>
        <v>10080</v>
      </c>
      <c r="AV9" s="84">
        <f>Receita!AV9</f>
        <v>10080</v>
      </c>
      <c r="AW9" s="84">
        <f>Receita!AW9</f>
        <v>10080</v>
      </c>
      <c r="AX9" s="84">
        <f>Receita!AX9</f>
        <v>13440</v>
      </c>
      <c r="AY9" s="84">
        <f>Receita!AY9</f>
        <v>13440</v>
      </c>
      <c r="AZ9" s="84">
        <f>Receita!AZ9</f>
        <v>13440</v>
      </c>
      <c r="BA9" s="84">
        <f>Receita!BA9</f>
        <v>13440</v>
      </c>
      <c r="BB9" s="84">
        <f>Receita!BB9</f>
        <v>13440</v>
      </c>
      <c r="BC9" s="84">
        <f>Receita!BC9</f>
        <v>13440</v>
      </c>
      <c r="BD9" s="84">
        <f>Receita!BD9</f>
        <v>13440</v>
      </c>
      <c r="BE9" s="84">
        <f>Receita!BE9</f>
        <v>13440</v>
      </c>
      <c r="BF9" s="84">
        <f>Receita!BF9</f>
        <v>13440</v>
      </c>
      <c r="BG9" s="84">
        <f>Receita!BG9</f>
        <v>13440</v>
      </c>
      <c r="BH9" s="84">
        <f>Receita!BH9</f>
        <v>13440</v>
      </c>
      <c r="BI9" s="84">
        <f>Receita!BI9</f>
        <v>13440</v>
      </c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</row>
    <row r="10" spans="1:131" s="40" customFormat="1" ht="15.75">
      <c r="A10" s="75" t="s">
        <v>107</v>
      </c>
      <c r="B10" s="85">
        <f>SUM(B5:B9)</f>
        <v>51219</v>
      </c>
      <c r="C10" s="85">
        <f t="shared" ref="C10:BI10" si="0">SUM(C5:C9)</f>
        <v>51219</v>
      </c>
      <c r="D10" s="85">
        <f t="shared" si="0"/>
        <v>51219</v>
      </c>
      <c r="E10" s="85">
        <f t="shared" si="0"/>
        <v>51219</v>
      </c>
      <c r="F10" s="85">
        <f t="shared" si="0"/>
        <v>51219</v>
      </c>
      <c r="G10" s="85">
        <f t="shared" si="0"/>
        <v>51219</v>
      </c>
      <c r="H10" s="85">
        <f t="shared" si="0"/>
        <v>51219</v>
      </c>
      <c r="I10" s="85">
        <f t="shared" si="0"/>
        <v>51219</v>
      </c>
      <c r="J10" s="85">
        <f t="shared" si="0"/>
        <v>51219</v>
      </c>
      <c r="K10" s="85">
        <f t="shared" si="0"/>
        <v>51219</v>
      </c>
      <c r="L10" s="85">
        <f t="shared" si="0"/>
        <v>51219</v>
      </c>
      <c r="M10" s="85">
        <f t="shared" si="0"/>
        <v>51219</v>
      </c>
      <c r="N10" s="85">
        <f t="shared" si="0"/>
        <v>137116</v>
      </c>
      <c r="O10" s="85">
        <f t="shared" si="0"/>
        <v>137116</v>
      </c>
      <c r="P10" s="85">
        <f t="shared" si="0"/>
        <v>137116</v>
      </c>
      <c r="Q10" s="85">
        <f t="shared" si="0"/>
        <v>137116</v>
      </c>
      <c r="R10" s="85">
        <f t="shared" si="0"/>
        <v>137116</v>
      </c>
      <c r="S10" s="85">
        <f t="shared" si="0"/>
        <v>137116</v>
      </c>
      <c r="T10" s="85">
        <f t="shared" si="0"/>
        <v>137116</v>
      </c>
      <c r="U10" s="85">
        <f t="shared" si="0"/>
        <v>137116</v>
      </c>
      <c r="V10" s="85">
        <f t="shared" si="0"/>
        <v>137116</v>
      </c>
      <c r="W10" s="85">
        <f t="shared" si="0"/>
        <v>137116</v>
      </c>
      <c r="X10" s="85">
        <f t="shared" si="0"/>
        <v>137116</v>
      </c>
      <c r="Y10" s="85">
        <f t="shared" si="0"/>
        <v>137116</v>
      </c>
      <c r="Z10" s="85">
        <f t="shared" si="0"/>
        <v>259087.5</v>
      </c>
      <c r="AA10" s="85">
        <f t="shared" si="0"/>
        <v>259087.5</v>
      </c>
      <c r="AB10" s="85">
        <f t="shared" si="0"/>
        <v>259087.5</v>
      </c>
      <c r="AC10" s="85">
        <f t="shared" si="0"/>
        <v>259087.5</v>
      </c>
      <c r="AD10" s="85">
        <f t="shared" si="0"/>
        <v>259087.5</v>
      </c>
      <c r="AE10" s="85">
        <f t="shared" si="0"/>
        <v>259087.5</v>
      </c>
      <c r="AF10" s="85">
        <f t="shared" si="0"/>
        <v>259087.5</v>
      </c>
      <c r="AG10" s="85">
        <f t="shared" si="0"/>
        <v>259087.5</v>
      </c>
      <c r="AH10" s="85">
        <f t="shared" si="0"/>
        <v>259087.5</v>
      </c>
      <c r="AI10" s="85">
        <f t="shared" si="0"/>
        <v>259087.5</v>
      </c>
      <c r="AJ10" s="85">
        <f t="shared" si="0"/>
        <v>259087.5</v>
      </c>
      <c r="AK10" s="85">
        <f t="shared" si="0"/>
        <v>259087.5</v>
      </c>
      <c r="AL10" s="85">
        <f t="shared" si="0"/>
        <v>414540</v>
      </c>
      <c r="AM10" s="85">
        <f t="shared" si="0"/>
        <v>414540</v>
      </c>
      <c r="AN10" s="85">
        <f t="shared" si="0"/>
        <v>414540</v>
      </c>
      <c r="AO10" s="85">
        <f t="shared" si="0"/>
        <v>414540</v>
      </c>
      <c r="AP10" s="85">
        <f t="shared" si="0"/>
        <v>414540</v>
      </c>
      <c r="AQ10" s="85">
        <f t="shared" si="0"/>
        <v>414540</v>
      </c>
      <c r="AR10" s="85">
        <f t="shared" si="0"/>
        <v>414540</v>
      </c>
      <c r="AS10" s="85">
        <f t="shared" si="0"/>
        <v>414540</v>
      </c>
      <c r="AT10" s="85">
        <f t="shared" si="0"/>
        <v>414540</v>
      </c>
      <c r="AU10" s="85">
        <f t="shared" si="0"/>
        <v>414540</v>
      </c>
      <c r="AV10" s="85">
        <f t="shared" si="0"/>
        <v>414540</v>
      </c>
      <c r="AW10" s="85">
        <f t="shared" si="0"/>
        <v>414540</v>
      </c>
      <c r="AX10" s="85">
        <f t="shared" si="0"/>
        <v>555380</v>
      </c>
      <c r="AY10" s="85">
        <f t="shared" si="0"/>
        <v>555380</v>
      </c>
      <c r="AZ10" s="85">
        <f t="shared" si="0"/>
        <v>555380</v>
      </c>
      <c r="BA10" s="85">
        <f t="shared" si="0"/>
        <v>555380</v>
      </c>
      <c r="BB10" s="85">
        <f t="shared" si="0"/>
        <v>555380</v>
      </c>
      <c r="BC10" s="85">
        <f t="shared" si="0"/>
        <v>555380</v>
      </c>
      <c r="BD10" s="85">
        <f t="shared" si="0"/>
        <v>555380</v>
      </c>
      <c r="BE10" s="85">
        <f t="shared" si="0"/>
        <v>555380</v>
      </c>
      <c r="BF10" s="85">
        <f t="shared" si="0"/>
        <v>555380</v>
      </c>
      <c r="BG10" s="85">
        <f t="shared" si="0"/>
        <v>555380</v>
      </c>
      <c r="BH10" s="85">
        <f t="shared" si="0"/>
        <v>555380</v>
      </c>
      <c r="BI10" s="85">
        <f t="shared" si="0"/>
        <v>555380</v>
      </c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</row>
    <row r="11" spans="1:131" s="28" customFormat="1" ht="15.75">
      <c r="A11" s="77" t="s">
        <v>108</v>
      </c>
      <c r="B11" s="86">
        <f t="shared" ref="B11:AG11" si="1">Imp_f*B10</f>
        <v>4430.4434999999994</v>
      </c>
      <c r="C11" s="86">
        <f t="shared" si="1"/>
        <v>4430.4434999999994</v>
      </c>
      <c r="D11" s="86">
        <f t="shared" si="1"/>
        <v>4430.4434999999994</v>
      </c>
      <c r="E11" s="86">
        <f t="shared" si="1"/>
        <v>4430.4434999999994</v>
      </c>
      <c r="F11" s="86">
        <f t="shared" si="1"/>
        <v>4430.4434999999994</v>
      </c>
      <c r="G11" s="86">
        <f t="shared" si="1"/>
        <v>4430.4434999999994</v>
      </c>
      <c r="H11" s="86">
        <f t="shared" si="1"/>
        <v>4430.4434999999994</v>
      </c>
      <c r="I11" s="86">
        <f t="shared" si="1"/>
        <v>4430.4434999999994</v>
      </c>
      <c r="J11" s="86">
        <f t="shared" si="1"/>
        <v>4430.4434999999994</v>
      </c>
      <c r="K11" s="86">
        <f t="shared" si="1"/>
        <v>4430.4434999999994</v>
      </c>
      <c r="L11" s="86">
        <f t="shared" si="1"/>
        <v>4430.4434999999994</v>
      </c>
      <c r="M11" s="86">
        <f t="shared" si="1"/>
        <v>4430.4434999999994</v>
      </c>
      <c r="N11" s="86">
        <f t="shared" si="1"/>
        <v>11860.534</v>
      </c>
      <c r="O11" s="86">
        <f t="shared" si="1"/>
        <v>11860.534</v>
      </c>
      <c r="P11" s="86">
        <f t="shared" si="1"/>
        <v>11860.534</v>
      </c>
      <c r="Q11" s="86">
        <f t="shared" si="1"/>
        <v>11860.534</v>
      </c>
      <c r="R11" s="86">
        <f t="shared" si="1"/>
        <v>11860.534</v>
      </c>
      <c r="S11" s="86">
        <f t="shared" si="1"/>
        <v>11860.534</v>
      </c>
      <c r="T11" s="86">
        <f t="shared" si="1"/>
        <v>11860.534</v>
      </c>
      <c r="U11" s="86">
        <f t="shared" si="1"/>
        <v>11860.534</v>
      </c>
      <c r="V11" s="86">
        <f t="shared" si="1"/>
        <v>11860.534</v>
      </c>
      <c r="W11" s="86">
        <f t="shared" si="1"/>
        <v>11860.534</v>
      </c>
      <c r="X11" s="86">
        <f t="shared" si="1"/>
        <v>11860.534</v>
      </c>
      <c r="Y11" s="86">
        <f t="shared" si="1"/>
        <v>11860.534</v>
      </c>
      <c r="Z11" s="86">
        <f t="shared" si="1"/>
        <v>22411.068749999999</v>
      </c>
      <c r="AA11" s="86">
        <f t="shared" si="1"/>
        <v>22411.068749999999</v>
      </c>
      <c r="AB11" s="86">
        <f t="shared" si="1"/>
        <v>22411.068749999999</v>
      </c>
      <c r="AC11" s="86">
        <f t="shared" si="1"/>
        <v>22411.068749999999</v>
      </c>
      <c r="AD11" s="86">
        <f t="shared" si="1"/>
        <v>22411.068749999999</v>
      </c>
      <c r="AE11" s="86">
        <f t="shared" si="1"/>
        <v>22411.068749999999</v>
      </c>
      <c r="AF11" s="86">
        <f t="shared" si="1"/>
        <v>22411.068749999999</v>
      </c>
      <c r="AG11" s="86">
        <f t="shared" si="1"/>
        <v>22411.068749999999</v>
      </c>
      <c r="AH11" s="86">
        <f t="shared" ref="AH11:BI11" si="2">Imp_f*AH10</f>
        <v>22411.068749999999</v>
      </c>
      <c r="AI11" s="86">
        <f t="shared" si="2"/>
        <v>22411.068749999999</v>
      </c>
      <c r="AJ11" s="86">
        <f t="shared" si="2"/>
        <v>22411.068749999999</v>
      </c>
      <c r="AK11" s="86">
        <f t="shared" si="2"/>
        <v>22411.068749999999</v>
      </c>
      <c r="AL11" s="86">
        <f t="shared" si="2"/>
        <v>35857.71</v>
      </c>
      <c r="AM11" s="86">
        <f t="shared" si="2"/>
        <v>35857.71</v>
      </c>
      <c r="AN11" s="86">
        <f t="shared" si="2"/>
        <v>35857.71</v>
      </c>
      <c r="AO11" s="86">
        <f t="shared" si="2"/>
        <v>35857.71</v>
      </c>
      <c r="AP11" s="86">
        <f t="shared" si="2"/>
        <v>35857.71</v>
      </c>
      <c r="AQ11" s="86">
        <f t="shared" si="2"/>
        <v>35857.71</v>
      </c>
      <c r="AR11" s="86">
        <f t="shared" si="2"/>
        <v>35857.71</v>
      </c>
      <c r="AS11" s="86">
        <f t="shared" si="2"/>
        <v>35857.71</v>
      </c>
      <c r="AT11" s="86">
        <f t="shared" si="2"/>
        <v>35857.71</v>
      </c>
      <c r="AU11" s="86">
        <f t="shared" si="2"/>
        <v>35857.71</v>
      </c>
      <c r="AV11" s="86">
        <f t="shared" si="2"/>
        <v>35857.71</v>
      </c>
      <c r="AW11" s="86">
        <f t="shared" si="2"/>
        <v>35857.71</v>
      </c>
      <c r="AX11" s="86">
        <f t="shared" si="2"/>
        <v>48040.369999999995</v>
      </c>
      <c r="AY11" s="86">
        <f t="shared" si="2"/>
        <v>48040.369999999995</v>
      </c>
      <c r="AZ11" s="86">
        <f t="shared" si="2"/>
        <v>48040.369999999995</v>
      </c>
      <c r="BA11" s="86">
        <f t="shared" si="2"/>
        <v>48040.369999999995</v>
      </c>
      <c r="BB11" s="86">
        <f t="shared" si="2"/>
        <v>48040.369999999995</v>
      </c>
      <c r="BC11" s="86">
        <f t="shared" si="2"/>
        <v>48040.369999999995</v>
      </c>
      <c r="BD11" s="86">
        <f t="shared" si="2"/>
        <v>48040.369999999995</v>
      </c>
      <c r="BE11" s="86">
        <f t="shared" si="2"/>
        <v>48040.369999999995</v>
      </c>
      <c r="BF11" s="86">
        <f t="shared" si="2"/>
        <v>48040.369999999995</v>
      </c>
      <c r="BG11" s="86">
        <f t="shared" si="2"/>
        <v>48040.369999999995</v>
      </c>
      <c r="BH11" s="86">
        <f t="shared" si="2"/>
        <v>48040.369999999995</v>
      </c>
      <c r="BI11" s="86">
        <f t="shared" si="2"/>
        <v>48040.369999999995</v>
      </c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</row>
    <row r="12" spans="1:131" s="40" customFormat="1" ht="15.75">
      <c r="A12" s="75" t="s">
        <v>109</v>
      </c>
      <c r="B12" s="87">
        <f>B10-B11</f>
        <v>46788.556499999999</v>
      </c>
      <c r="C12" s="87">
        <f t="shared" ref="C12:E12" si="3">C10-C11</f>
        <v>46788.556499999999</v>
      </c>
      <c r="D12" s="87">
        <f t="shared" si="3"/>
        <v>46788.556499999999</v>
      </c>
      <c r="E12" s="87">
        <f t="shared" si="3"/>
        <v>46788.556499999999</v>
      </c>
      <c r="F12" s="87">
        <f t="shared" ref="F12" si="4">F10-F11</f>
        <v>46788.556499999999</v>
      </c>
      <c r="G12" s="87">
        <f t="shared" ref="G12:H12" si="5">G10-G11</f>
        <v>46788.556499999999</v>
      </c>
      <c r="H12" s="87">
        <f t="shared" si="5"/>
        <v>46788.556499999999</v>
      </c>
      <c r="I12" s="87">
        <f t="shared" ref="I12" si="6">I10-I11</f>
        <v>46788.556499999999</v>
      </c>
      <c r="J12" s="87">
        <f t="shared" ref="J12:K12" si="7">J10-J11</f>
        <v>46788.556499999999</v>
      </c>
      <c r="K12" s="87">
        <f t="shared" si="7"/>
        <v>46788.556499999999</v>
      </c>
      <c r="L12" s="87">
        <f t="shared" ref="L12" si="8">L10-L11</f>
        <v>46788.556499999999</v>
      </c>
      <c r="M12" s="87">
        <f t="shared" ref="M12:N12" si="9">M10-M11</f>
        <v>46788.556499999999</v>
      </c>
      <c r="N12" s="87">
        <f t="shared" si="9"/>
        <v>125255.466</v>
      </c>
      <c r="O12" s="87">
        <f t="shared" ref="O12" si="10">O10-O11</f>
        <v>125255.466</v>
      </c>
      <c r="P12" s="87">
        <f t="shared" ref="P12:Q12" si="11">P10-P11</f>
        <v>125255.466</v>
      </c>
      <c r="Q12" s="87">
        <f t="shared" si="11"/>
        <v>125255.466</v>
      </c>
      <c r="R12" s="87">
        <f t="shared" ref="R12" si="12">R10-R11</f>
        <v>125255.466</v>
      </c>
      <c r="S12" s="87">
        <f t="shared" ref="S12:T12" si="13">S10-S11</f>
        <v>125255.466</v>
      </c>
      <c r="T12" s="87">
        <f t="shared" si="13"/>
        <v>125255.466</v>
      </c>
      <c r="U12" s="87">
        <f t="shared" ref="U12" si="14">U10-U11</f>
        <v>125255.466</v>
      </c>
      <c r="V12" s="87">
        <f t="shared" ref="V12:W12" si="15">V10-V11</f>
        <v>125255.466</v>
      </c>
      <c r="W12" s="87">
        <f t="shared" si="15"/>
        <v>125255.466</v>
      </c>
      <c r="X12" s="87">
        <f t="shared" ref="X12" si="16">X10-X11</f>
        <v>125255.466</v>
      </c>
      <c r="Y12" s="87">
        <f t="shared" ref="Y12:Z12" si="17">Y10-Y11</f>
        <v>125255.466</v>
      </c>
      <c r="Z12" s="87">
        <f t="shared" si="17"/>
        <v>236676.43124999999</v>
      </c>
      <c r="AA12" s="87">
        <f t="shared" ref="AA12" si="18">AA10-AA11</f>
        <v>236676.43124999999</v>
      </c>
      <c r="AB12" s="87">
        <f t="shared" ref="AB12:AC12" si="19">AB10-AB11</f>
        <v>236676.43124999999</v>
      </c>
      <c r="AC12" s="87">
        <f t="shared" si="19"/>
        <v>236676.43124999999</v>
      </c>
      <c r="AD12" s="87">
        <f t="shared" ref="AD12" si="20">AD10-AD11</f>
        <v>236676.43124999999</v>
      </c>
      <c r="AE12" s="87">
        <f t="shared" ref="AE12:AF12" si="21">AE10-AE11</f>
        <v>236676.43124999999</v>
      </c>
      <c r="AF12" s="87">
        <f t="shared" si="21"/>
        <v>236676.43124999999</v>
      </c>
      <c r="AG12" s="87">
        <f t="shared" ref="AG12" si="22">AG10-AG11</f>
        <v>236676.43124999999</v>
      </c>
      <c r="AH12" s="87">
        <f t="shared" ref="AH12:AI12" si="23">AH10-AH11</f>
        <v>236676.43124999999</v>
      </c>
      <c r="AI12" s="87">
        <f t="shared" si="23"/>
        <v>236676.43124999999</v>
      </c>
      <c r="AJ12" s="87">
        <f t="shared" ref="AJ12" si="24">AJ10-AJ11</f>
        <v>236676.43124999999</v>
      </c>
      <c r="AK12" s="87">
        <f t="shared" ref="AK12:AL12" si="25">AK10-AK11</f>
        <v>236676.43124999999</v>
      </c>
      <c r="AL12" s="87">
        <f t="shared" si="25"/>
        <v>378682.29</v>
      </c>
      <c r="AM12" s="87">
        <f t="shared" ref="AM12" si="26">AM10-AM11</f>
        <v>378682.29</v>
      </c>
      <c r="AN12" s="87">
        <f t="shared" ref="AN12:AO12" si="27">AN10-AN11</f>
        <v>378682.29</v>
      </c>
      <c r="AO12" s="87">
        <f t="shared" si="27"/>
        <v>378682.29</v>
      </c>
      <c r="AP12" s="87">
        <f t="shared" ref="AP12" si="28">AP10-AP11</f>
        <v>378682.29</v>
      </c>
      <c r="AQ12" s="87">
        <f t="shared" ref="AQ12:AR12" si="29">AQ10-AQ11</f>
        <v>378682.29</v>
      </c>
      <c r="AR12" s="87">
        <f t="shared" si="29"/>
        <v>378682.29</v>
      </c>
      <c r="AS12" s="87">
        <f t="shared" ref="AS12" si="30">AS10-AS11</f>
        <v>378682.29</v>
      </c>
      <c r="AT12" s="87">
        <f t="shared" ref="AT12:AU12" si="31">AT10-AT11</f>
        <v>378682.29</v>
      </c>
      <c r="AU12" s="87">
        <f t="shared" si="31"/>
        <v>378682.29</v>
      </c>
      <c r="AV12" s="87">
        <f t="shared" ref="AV12" si="32">AV10-AV11</f>
        <v>378682.29</v>
      </c>
      <c r="AW12" s="87">
        <f t="shared" ref="AW12:AX12" si="33">AW10-AW11</f>
        <v>378682.29</v>
      </c>
      <c r="AX12" s="87">
        <f t="shared" si="33"/>
        <v>507339.63</v>
      </c>
      <c r="AY12" s="87">
        <f t="shared" ref="AY12" si="34">AY10-AY11</f>
        <v>507339.63</v>
      </c>
      <c r="AZ12" s="87">
        <f t="shared" ref="AZ12:BA12" si="35">AZ10-AZ11</f>
        <v>507339.63</v>
      </c>
      <c r="BA12" s="87">
        <f t="shared" si="35"/>
        <v>507339.63</v>
      </c>
      <c r="BB12" s="87">
        <f t="shared" ref="BB12" si="36">BB10-BB11</f>
        <v>507339.63</v>
      </c>
      <c r="BC12" s="87">
        <f t="shared" ref="BC12:BD12" si="37">BC10-BC11</f>
        <v>507339.63</v>
      </c>
      <c r="BD12" s="87">
        <f t="shared" si="37"/>
        <v>507339.63</v>
      </c>
      <c r="BE12" s="87">
        <f t="shared" ref="BE12" si="38">BE10-BE11</f>
        <v>507339.63</v>
      </c>
      <c r="BF12" s="87">
        <f t="shared" ref="BF12:BG12" si="39">BF10-BF11</f>
        <v>507339.63</v>
      </c>
      <c r="BG12" s="87">
        <f t="shared" si="39"/>
        <v>507339.63</v>
      </c>
      <c r="BH12" s="87">
        <f t="shared" ref="BH12" si="40">BH10-BH11</f>
        <v>507339.63</v>
      </c>
      <c r="BI12" s="87">
        <f t="shared" ref="BI12" si="41">BI10-BI11</f>
        <v>507339.63</v>
      </c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</row>
    <row r="13" spans="1:131" ht="15.75">
      <c r="A13" s="77" t="s">
        <v>26</v>
      </c>
      <c r="B13" s="88">
        <f>Custos!B11</f>
        <v>83030</v>
      </c>
      <c r="C13" s="88">
        <f>Custos!C11</f>
        <v>33030</v>
      </c>
      <c r="D13" s="88">
        <f>Custos!D11</f>
        <v>83030</v>
      </c>
      <c r="E13" s="88">
        <f>Custos!E11</f>
        <v>33030</v>
      </c>
      <c r="F13" s="88">
        <f>Custos!F11</f>
        <v>83030</v>
      </c>
      <c r="G13" s="88">
        <f>Custos!G11</f>
        <v>33030</v>
      </c>
      <c r="H13" s="88">
        <f>Custos!H11</f>
        <v>33030</v>
      </c>
      <c r="I13" s="88">
        <f>Custos!I11</f>
        <v>83030</v>
      </c>
      <c r="J13" s="88">
        <f>Custos!J11</f>
        <v>33030</v>
      </c>
      <c r="K13" s="88">
        <f>Custos!K11</f>
        <v>33030</v>
      </c>
      <c r="L13" s="88">
        <f>Custos!L11</f>
        <v>33030</v>
      </c>
      <c r="M13" s="88">
        <f>Custos!M11</f>
        <v>33030</v>
      </c>
      <c r="N13" s="88">
        <f>Custos!N11</f>
        <v>126612</v>
      </c>
      <c r="O13" s="88">
        <f>Custos!O11</f>
        <v>76612</v>
      </c>
      <c r="P13" s="88">
        <f>Custos!P11</f>
        <v>76612</v>
      </c>
      <c r="Q13" s="88">
        <f>Custos!Q11</f>
        <v>76612</v>
      </c>
      <c r="R13" s="88">
        <f>Custos!R11</f>
        <v>76612</v>
      </c>
      <c r="S13" s="88">
        <f>Custos!S11</f>
        <v>76612</v>
      </c>
      <c r="T13" s="88">
        <f>Custos!T11</f>
        <v>76612</v>
      </c>
      <c r="U13" s="88">
        <f>Custos!U11</f>
        <v>76612</v>
      </c>
      <c r="V13" s="88">
        <f>Custos!V11</f>
        <v>76612</v>
      </c>
      <c r="W13" s="88">
        <f>Custos!W11</f>
        <v>76612</v>
      </c>
      <c r="X13" s="88">
        <f>Custos!X11</f>
        <v>76612</v>
      </c>
      <c r="Y13" s="88">
        <f>Custos!Y11</f>
        <v>76612</v>
      </c>
      <c r="Z13" s="88">
        <f>Custos!Z11</f>
        <v>129926</v>
      </c>
      <c r="AA13" s="88">
        <f>Custos!AA11</f>
        <v>79926</v>
      </c>
      <c r="AB13" s="88">
        <f>Custos!AB11</f>
        <v>79926</v>
      </c>
      <c r="AC13" s="88">
        <f>Custos!AC11</f>
        <v>79926</v>
      </c>
      <c r="AD13" s="88">
        <f>Custos!AD11</f>
        <v>79926</v>
      </c>
      <c r="AE13" s="88">
        <f>Custos!AE11</f>
        <v>79926</v>
      </c>
      <c r="AF13" s="88">
        <f>Custos!AF11</f>
        <v>79926</v>
      </c>
      <c r="AG13" s="88">
        <f>Custos!AG11</f>
        <v>79926</v>
      </c>
      <c r="AH13" s="88">
        <f>Custos!AH11</f>
        <v>79926</v>
      </c>
      <c r="AI13" s="88">
        <f>Custos!AI11</f>
        <v>79926</v>
      </c>
      <c r="AJ13" s="88">
        <f>Custos!AJ11</f>
        <v>79926</v>
      </c>
      <c r="AK13" s="88">
        <f>Custos!AK11</f>
        <v>79926</v>
      </c>
      <c r="AL13" s="88">
        <f>Custos!AL11</f>
        <v>166120</v>
      </c>
      <c r="AM13" s="88">
        <f>Custos!AM11</f>
        <v>116120</v>
      </c>
      <c r="AN13" s="88">
        <f>Custos!AN11</f>
        <v>116120</v>
      </c>
      <c r="AO13" s="88">
        <f>Custos!AO11</f>
        <v>116120</v>
      </c>
      <c r="AP13" s="88">
        <f>Custos!AP11</f>
        <v>116120</v>
      </c>
      <c r="AQ13" s="88">
        <f>Custos!AQ11</f>
        <v>116120</v>
      </c>
      <c r="AR13" s="88">
        <f>Custos!AR11</f>
        <v>116120</v>
      </c>
      <c r="AS13" s="88">
        <f>Custos!AS11</f>
        <v>116120</v>
      </c>
      <c r="AT13" s="88">
        <f>Custos!AT11</f>
        <v>116120</v>
      </c>
      <c r="AU13" s="88">
        <f>Custos!AU11</f>
        <v>116120</v>
      </c>
      <c r="AV13" s="88">
        <f>Custos!AV11</f>
        <v>121120</v>
      </c>
      <c r="AW13" s="88">
        <f>Custos!AW11</f>
        <v>121120</v>
      </c>
      <c r="AX13" s="88">
        <f>Custos!AX11</f>
        <v>199926</v>
      </c>
      <c r="AY13" s="88">
        <f>Custos!AY11</f>
        <v>149926</v>
      </c>
      <c r="AZ13" s="88">
        <f>Custos!AZ11</f>
        <v>149926</v>
      </c>
      <c r="BA13" s="88">
        <f>Custos!BA11</f>
        <v>149926</v>
      </c>
      <c r="BB13" s="88">
        <f>Custos!BB11</f>
        <v>149926</v>
      </c>
      <c r="BC13" s="88">
        <f>Custos!BC11</f>
        <v>149926</v>
      </c>
      <c r="BD13" s="88">
        <f>Custos!BD11</f>
        <v>149926</v>
      </c>
      <c r="BE13" s="88">
        <f>Custos!BE11</f>
        <v>149926</v>
      </c>
      <c r="BF13" s="88">
        <f>Custos!BF11</f>
        <v>149926</v>
      </c>
      <c r="BG13" s="88">
        <f>Custos!BG11</f>
        <v>149926</v>
      </c>
      <c r="BH13" s="88">
        <f>Custos!BH11</f>
        <v>149926</v>
      </c>
      <c r="BI13" s="88">
        <f>Custos!BI11</f>
        <v>149926</v>
      </c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</row>
    <row r="14" spans="1:131" ht="15.75">
      <c r="A14" s="78" t="s">
        <v>114</v>
      </c>
      <c r="B14" s="88">
        <f>Investimentos_infra!B10</f>
        <v>25400</v>
      </c>
      <c r="C14" s="88">
        <f>Investimentos_infra!C10</f>
        <v>0</v>
      </c>
      <c r="D14" s="88">
        <f>Investimentos_infra!D10</f>
        <v>0</v>
      </c>
      <c r="E14" s="88">
        <f>Investimentos_infra!E10</f>
        <v>0</v>
      </c>
      <c r="F14" s="88">
        <f>Investimentos_infra!F10</f>
        <v>0</v>
      </c>
      <c r="G14" s="88">
        <f>Investimentos_infra!G10</f>
        <v>0</v>
      </c>
      <c r="H14" s="88">
        <f>Investimentos_infra!H10</f>
        <v>0</v>
      </c>
      <c r="I14" s="88">
        <f>Investimentos_infra!I10</f>
        <v>0</v>
      </c>
      <c r="J14" s="88">
        <f>Investimentos_infra!J10</f>
        <v>0</v>
      </c>
      <c r="K14" s="88">
        <f>Investimentos_infra!K10</f>
        <v>0</v>
      </c>
      <c r="L14" s="88">
        <f>Investimentos_infra!L10</f>
        <v>0</v>
      </c>
      <c r="M14" s="88">
        <f>Investimentos_infra!M10</f>
        <v>22000</v>
      </c>
      <c r="N14" s="88">
        <f>Investimentos_infra!N10</f>
        <v>0</v>
      </c>
      <c r="O14" s="88">
        <f>Investimentos_infra!O10</f>
        <v>0</v>
      </c>
      <c r="P14" s="88">
        <f>Investimentos_infra!P10</f>
        <v>0</v>
      </c>
      <c r="Q14" s="88">
        <f>Investimentos_infra!Q10</f>
        <v>0</v>
      </c>
      <c r="R14" s="88">
        <f>Investimentos_infra!R10</f>
        <v>0</v>
      </c>
      <c r="S14" s="88">
        <f>Investimentos_infra!S10</f>
        <v>0</v>
      </c>
      <c r="T14" s="88">
        <f>Investimentos_infra!T10</f>
        <v>0</v>
      </c>
      <c r="U14" s="88">
        <f>Investimentos_infra!U10</f>
        <v>0</v>
      </c>
      <c r="V14" s="88">
        <f>Investimentos_infra!V10</f>
        <v>0</v>
      </c>
      <c r="W14" s="88">
        <f>Investimentos_infra!W10</f>
        <v>0</v>
      </c>
      <c r="X14" s="88">
        <f>Investimentos_infra!X10</f>
        <v>0</v>
      </c>
      <c r="Y14" s="88">
        <f>Investimentos_infra!Y10</f>
        <v>33000</v>
      </c>
      <c r="Z14" s="88">
        <f>Investimentos_infra!Z10</f>
        <v>0</v>
      </c>
      <c r="AA14" s="88">
        <f>Investimentos_infra!AA10</f>
        <v>0</v>
      </c>
      <c r="AB14" s="88">
        <f>Investimentos_infra!AB10</f>
        <v>0</v>
      </c>
      <c r="AC14" s="88">
        <f>Investimentos_infra!AC10</f>
        <v>0</v>
      </c>
      <c r="AD14" s="88">
        <f>Investimentos_infra!AD10</f>
        <v>0</v>
      </c>
      <c r="AE14" s="88">
        <f>Investimentos_infra!AE10</f>
        <v>0</v>
      </c>
      <c r="AF14" s="88">
        <f>Investimentos_infra!AF10</f>
        <v>0</v>
      </c>
      <c r="AG14" s="88">
        <f>Investimentos_infra!AG10</f>
        <v>0</v>
      </c>
      <c r="AH14" s="88">
        <f>Investimentos_infra!AH10</f>
        <v>0</v>
      </c>
      <c r="AI14" s="88">
        <f>Investimentos_infra!AI10</f>
        <v>0</v>
      </c>
      <c r="AJ14" s="88">
        <f>Investimentos_infra!AJ10</f>
        <v>0</v>
      </c>
      <c r="AK14" s="88">
        <f>Investimentos_infra!AK10</f>
        <v>22000</v>
      </c>
      <c r="AL14" s="88">
        <f>Investimentos_infra!AL10</f>
        <v>0</v>
      </c>
      <c r="AM14" s="88">
        <f>Investimentos_infra!AM10</f>
        <v>0</v>
      </c>
      <c r="AN14" s="88">
        <f>Investimentos_infra!AN10</f>
        <v>0</v>
      </c>
      <c r="AO14" s="88">
        <f>Investimentos_infra!AO10</f>
        <v>0</v>
      </c>
      <c r="AP14" s="88">
        <f>Investimentos_infra!AP10</f>
        <v>0</v>
      </c>
      <c r="AQ14" s="88">
        <f>Investimentos_infra!AQ10</f>
        <v>0</v>
      </c>
      <c r="AR14" s="88">
        <f>Investimentos_infra!AR10</f>
        <v>0</v>
      </c>
      <c r="AS14" s="88">
        <f>Investimentos_infra!AS10</f>
        <v>0</v>
      </c>
      <c r="AT14" s="88">
        <f>Investimentos_infra!AT10</f>
        <v>0</v>
      </c>
      <c r="AU14" s="88">
        <f>Investimentos_infra!AU10</f>
        <v>0</v>
      </c>
      <c r="AV14" s="88">
        <f>Investimentos_infra!AV10</f>
        <v>0</v>
      </c>
      <c r="AW14" s="88">
        <f>Investimentos_infra!AW10</f>
        <v>22000</v>
      </c>
      <c r="AX14" s="88">
        <f>Investimentos_infra!AX10</f>
        <v>0</v>
      </c>
      <c r="AY14" s="88">
        <f>Investimentos_infra!AY10</f>
        <v>0</v>
      </c>
      <c r="AZ14" s="88">
        <f>Investimentos_infra!AZ10</f>
        <v>0</v>
      </c>
      <c r="BA14" s="88">
        <f>Investimentos_infra!BA10</f>
        <v>0</v>
      </c>
      <c r="BB14" s="88">
        <f>Investimentos_infra!BB10</f>
        <v>0</v>
      </c>
      <c r="BC14" s="88">
        <f>Investimentos_infra!BC10</f>
        <v>0</v>
      </c>
      <c r="BD14" s="88">
        <f>Investimentos_infra!BD10</f>
        <v>0</v>
      </c>
      <c r="BE14" s="88">
        <f>Investimentos_infra!BE10</f>
        <v>0</v>
      </c>
      <c r="BF14" s="88">
        <f>Investimentos_infra!BF10</f>
        <v>0</v>
      </c>
      <c r="BG14" s="88">
        <f>Investimentos_infra!BG10</f>
        <v>0</v>
      </c>
      <c r="BH14" s="88">
        <f>Investimentos_infra!BH10</f>
        <v>0</v>
      </c>
      <c r="BI14" s="88">
        <f>Investimentos_infra!BI10</f>
        <v>33000</v>
      </c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</row>
    <row r="15" spans="1:131" ht="15.75">
      <c r="A15" s="78" t="s">
        <v>27</v>
      </c>
      <c r="B15" s="88">
        <f>Despesas!B16</f>
        <v>31214.97</v>
      </c>
      <c r="C15" s="88">
        <f>Despesas!C16</f>
        <v>12564.970000000001</v>
      </c>
      <c r="D15" s="88">
        <f>Despesas!D16</f>
        <v>13914.970000000001</v>
      </c>
      <c r="E15" s="88">
        <f>Despesas!E16</f>
        <v>13914.970000000001</v>
      </c>
      <c r="F15" s="88">
        <f>Despesas!F16</f>
        <v>13974.970000000001</v>
      </c>
      <c r="G15" s="88">
        <f>Despesas!G16</f>
        <v>13974.970000000001</v>
      </c>
      <c r="H15" s="88">
        <f>Despesas!H16</f>
        <v>16974.97</v>
      </c>
      <c r="I15" s="88">
        <f>Despesas!I16</f>
        <v>16974.97</v>
      </c>
      <c r="J15" s="88">
        <f>Despesas!J16</f>
        <v>17154.97</v>
      </c>
      <c r="K15" s="88">
        <f>Despesas!K16</f>
        <v>17154.97</v>
      </c>
      <c r="L15" s="88">
        <f>Despesas!L16</f>
        <v>17154.97</v>
      </c>
      <c r="M15" s="88">
        <f>Despesas!M16</f>
        <v>17154.97</v>
      </c>
      <c r="N15" s="88">
        <f>Despesas!N16</f>
        <v>30227.95</v>
      </c>
      <c r="O15" s="88">
        <f>Despesas!O16</f>
        <v>30227.95</v>
      </c>
      <c r="P15" s="88">
        <f>Despesas!P16</f>
        <v>30227.95</v>
      </c>
      <c r="Q15" s="88">
        <f>Despesas!Q16</f>
        <v>30227.95</v>
      </c>
      <c r="R15" s="88">
        <f>Despesas!R16</f>
        <v>30227.95</v>
      </c>
      <c r="S15" s="88">
        <f>Despesas!S16</f>
        <v>30227.95</v>
      </c>
      <c r="T15" s="88">
        <f>Despesas!T16</f>
        <v>30227.95</v>
      </c>
      <c r="U15" s="88">
        <f>Despesas!U16</f>
        <v>30227.95</v>
      </c>
      <c r="V15" s="88">
        <f>Despesas!V16</f>
        <v>30227.95</v>
      </c>
      <c r="W15" s="88">
        <f>Despesas!W16</f>
        <v>30227.95</v>
      </c>
      <c r="X15" s="88">
        <f>Despesas!X16</f>
        <v>30227.95</v>
      </c>
      <c r="Y15" s="88">
        <f>Despesas!Y16</f>
        <v>30227.95</v>
      </c>
      <c r="Z15" s="88">
        <f>Despesas!Z16</f>
        <v>38254.93</v>
      </c>
      <c r="AA15" s="88">
        <f>Despesas!AA16</f>
        <v>38254.93</v>
      </c>
      <c r="AB15" s="88">
        <f>Despesas!AB16</f>
        <v>38254.93</v>
      </c>
      <c r="AC15" s="88">
        <f>Despesas!AC16</f>
        <v>38254.93</v>
      </c>
      <c r="AD15" s="88">
        <f>Despesas!AD16</f>
        <v>38254.93</v>
      </c>
      <c r="AE15" s="88">
        <f>Despesas!AE16</f>
        <v>38254.93</v>
      </c>
      <c r="AF15" s="88">
        <f>Despesas!AF16</f>
        <v>38254.93</v>
      </c>
      <c r="AG15" s="88">
        <f>Despesas!AG16</f>
        <v>38254.93</v>
      </c>
      <c r="AH15" s="88">
        <f>Despesas!AH16</f>
        <v>38254.93</v>
      </c>
      <c r="AI15" s="88">
        <f>Despesas!AI16</f>
        <v>38254.93</v>
      </c>
      <c r="AJ15" s="88">
        <f>Despesas!AJ16</f>
        <v>38254.93</v>
      </c>
      <c r="AK15" s="88">
        <f>Despesas!AK16</f>
        <v>38254.93</v>
      </c>
      <c r="AL15" s="88">
        <f>Despesas!AL16</f>
        <v>50271.91</v>
      </c>
      <c r="AM15" s="88">
        <f>Despesas!AM16</f>
        <v>50271.91</v>
      </c>
      <c r="AN15" s="88">
        <f>Despesas!AN16</f>
        <v>50271.91</v>
      </c>
      <c r="AO15" s="88">
        <f>Despesas!AO16</f>
        <v>50271.91</v>
      </c>
      <c r="AP15" s="88">
        <f>Despesas!AP16</f>
        <v>50271.91</v>
      </c>
      <c r="AQ15" s="88">
        <f>Despesas!AQ16</f>
        <v>50271.91</v>
      </c>
      <c r="AR15" s="88">
        <f>Despesas!AR16</f>
        <v>50271.91</v>
      </c>
      <c r="AS15" s="88">
        <f>Despesas!AS16</f>
        <v>50271.91</v>
      </c>
      <c r="AT15" s="88">
        <f>Despesas!AT16</f>
        <v>50271.91</v>
      </c>
      <c r="AU15" s="88">
        <f>Despesas!AU16</f>
        <v>50271.91</v>
      </c>
      <c r="AV15" s="88">
        <f>Despesas!AV16</f>
        <v>50271.91</v>
      </c>
      <c r="AW15" s="88">
        <f>Despesas!AW16</f>
        <v>50271.91</v>
      </c>
      <c r="AX15" s="88">
        <f>Despesas!AX16</f>
        <v>59288.89</v>
      </c>
      <c r="AY15" s="88">
        <f>Despesas!AY16</f>
        <v>59288.89</v>
      </c>
      <c r="AZ15" s="88">
        <f>Despesas!AZ16</f>
        <v>59288.89</v>
      </c>
      <c r="BA15" s="88">
        <f>Despesas!BA16</f>
        <v>59288.89</v>
      </c>
      <c r="BB15" s="88">
        <f>Despesas!BB16</f>
        <v>59288.89</v>
      </c>
      <c r="BC15" s="88">
        <f>Despesas!BC16</f>
        <v>59288.89</v>
      </c>
      <c r="BD15" s="88">
        <f>Despesas!BD16</f>
        <v>59288.89</v>
      </c>
      <c r="BE15" s="88">
        <f>Despesas!BE16</f>
        <v>59288.89</v>
      </c>
      <c r="BF15" s="88">
        <f>Despesas!BF16</f>
        <v>59288.89</v>
      </c>
      <c r="BG15" s="88">
        <f>Despesas!BG16</f>
        <v>59288.89</v>
      </c>
      <c r="BH15" s="88">
        <f>Despesas!BH16</f>
        <v>59288.89</v>
      </c>
      <c r="BI15" s="88">
        <f>Despesas!BI16</f>
        <v>59288.89</v>
      </c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</row>
    <row r="16" spans="1:131" ht="15.75">
      <c r="A16" s="78" t="s">
        <v>80</v>
      </c>
      <c r="B16" s="88">
        <f>Funcionários!B28</f>
        <v>14696</v>
      </c>
      <c r="C16" s="88">
        <f>Funcionários!C28</f>
        <v>14696</v>
      </c>
      <c r="D16" s="88">
        <f>Funcionários!D28</f>
        <v>14696</v>
      </c>
      <c r="E16" s="88">
        <f>Funcionários!E28</f>
        <v>14696</v>
      </c>
      <c r="F16" s="88">
        <f>Funcionários!F28</f>
        <v>14696</v>
      </c>
      <c r="G16" s="88">
        <f>Funcionários!G28</f>
        <v>14696</v>
      </c>
      <c r="H16" s="88">
        <f>Funcionários!H28</f>
        <v>14696</v>
      </c>
      <c r="I16" s="88">
        <f>Funcionários!I28</f>
        <v>14696</v>
      </c>
      <c r="J16" s="88">
        <f>Funcionários!J28</f>
        <v>14696</v>
      </c>
      <c r="K16" s="88">
        <f>Funcionários!K28</f>
        <v>14696</v>
      </c>
      <c r="L16" s="88">
        <f>Funcionários!L28</f>
        <v>14696</v>
      </c>
      <c r="M16" s="88">
        <f>Funcionários!M28</f>
        <v>14696</v>
      </c>
      <c r="N16" s="88">
        <f>Funcionários!N28</f>
        <v>27392</v>
      </c>
      <c r="O16" s="88">
        <f>Funcionários!O28</f>
        <v>27392</v>
      </c>
      <c r="P16" s="88">
        <f>Funcionários!P28</f>
        <v>27392</v>
      </c>
      <c r="Q16" s="88">
        <f>Funcionários!Q28</f>
        <v>27392</v>
      </c>
      <c r="R16" s="88">
        <f>Funcionários!R28</f>
        <v>27392</v>
      </c>
      <c r="S16" s="88">
        <f>Funcionários!S28</f>
        <v>27392</v>
      </c>
      <c r="T16" s="88">
        <f>Funcionários!T28</f>
        <v>27392</v>
      </c>
      <c r="U16" s="88">
        <f>Funcionários!U28</f>
        <v>27392</v>
      </c>
      <c r="V16" s="88">
        <f>Funcionários!V28</f>
        <v>27392</v>
      </c>
      <c r="W16" s="88">
        <f>Funcionários!W28</f>
        <v>27392</v>
      </c>
      <c r="X16" s="88">
        <f>Funcionários!X28</f>
        <v>27392</v>
      </c>
      <c r="Y16" s="88">
        <f>Funcionários!Y28</f>
        <v>27392</v>
      </c>
      <c r="Z16" s="88">
        <f>Funcionários!Z28</f>
        <v>40088</v>
      </c>
      <c r="AA16" s="88">
        <f>Funcionários!AA28</f>
        <v>40088</v>
      </c>
      <c r="AB16" s="88">
        <f>Funcionários!AB28</f>
        <v>40088</v>
      </c>
      <c r="AC16" s="88">
        <f>Funcionários!AC28</f>
        <v>40088</v>
      </c>
      <c r="AD16" s="88">
        <f>Funcionários!AD28</f>
        <v>40088</v>
      </c>
      <c r="AE16" s="88">
        <f>Funcionários!AE28</f>
        <v>40088</v>
      </c>
      <c r="AF16" s="88">
        <f>Funcionários!AF28</f>
        <v>40088</v>
      </c>
      <c r="AG16" s="88">
        <f>Funcionários!AG28</f>
        <v>40088</v>
      </c>
      <c r="AH16" s="88">
        <f>Funcionários!AH28</f>
        <v>40088</v>
      </c>
      <c r="AI16" s="88">
        <f>Funcionários!AI28</f>
        <v>40088</v>
      </c>
      <c r="AJ16" s="88">
        <f>Funcionários!AJ28</f>
        <v>40088</v>
      </c>
      <c r="AK16" s="88">
        <f>Funcionários!AK28</f>
        <v>40088</v>
      </c>
      <c r="AL16" s="88">
        <f>Funcionários!AL28</f>
        <v>52784</v>
      </c>
      <c r="AM16" s="88">
        <f>Funcionários!AM28</f>
        <v>52784</v>
      </c>
      <c r="AN16" s="88">
        <f>Funcionários!AN28</f>
        <v>52784</v>
      </c>
      <c r="AO16" s="88">
        <f>Funcionários!AO28</f>
        <v>52784</v>
      </c>
      <c r="AP16" s="88">
        <f>Funcionários!AP28</f>
        <v>52784</v>
      </c>
      <c r="AQ16" s="88">
        <f>Funcionários!AQ28</f>
        <v>52784</v>
      </c>
      <c r="AR16" s="88">
        <f>Funcionários!AR28</f>
        <v>52784</v>
      </c>
      <c r="AS16" s="88">
        <f>Funcionários!AS28</f>
        <v>52784</v>
      </c>
      <c r="AT16" s="88">
        <f>Funcionários!AT28</f>
        <v>52784</v>
      </c>
      <c r="AU16" s="88">
        <f>Funcionários!AU28</f>
        <v>52784</v>
      </c>
      <c r="AV16" s="88">
        <f>Funcionários!AV28</f>
        <v>52784</v>
      </c>
      <c r="AW16" s="88">
        <f>Funcionários!AW28</f>
        <v>52784</v>
      </c>
      <c r="AX16" s="88">
        <f>Funcionários!AX28</f>
        <v>65480</v>
      </c>
      <c r="AY16" s="88">
        <f>Funcionários!AY28</f>
        <v>65480</v>
      </c>
      <c r="AZ16" s="88">
        <f>Funcionários!AZ28</f>
        <v>65480</v>
      </c>
      <c r="BA16" s="88">
        <f>Funcionários!BA28</f>
        <v>65480</v>
      </c>
      <c r="BB16" s="88">
        <f>Funcionários!BB28</f>
        <v>65480</v>
      </c>
      <c r="BC16" s="88">
        <f>Funcionários!BC28</f>
        <v>65480</v>
      </c>
      <c r="BD16" s="88">
        <f>Funcionários!BD28</f>
        <v>65480</v>
      </c>
      <c r="BE16" s="88">
        <f>Funcionários!BE28</f>
        <v>65480</v>
      </c>
      <c r="BF16" s="88">
        <f>Funcionários!BF28</f>
        <v>65480</v>
      </c>
      <c r="BG16" s="88">
        <f>Funcionários!BG28</f>
        <v>65480</v>
      </c>
      <c r="BH16" s="88">
        <f>Funcionários!BH28</f>
        <v>65480</v>
      </c>
      <c r="BI16" s="88">
        <f>Funcionários!BI28</f>
        <v>65480</v>
      </c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</row>
    <row r="17" spans="1:131" s="40" customFormat="1" ht="15.75">
      <c r="A17" s="75" t="s">
        <v>86</v>
      </c>
      <c r="B17" s="87">
        <f>B12-SUM(B13:B16)</f>
        <v>-107552.4135</v>
      </c>
      <c r="C17" s="87">
        <f t="shared" ref="C17:BI17" si="42">C12-SUM(C13:C16)</f>
        <v>-13502.413500000002</v>
      </c>
      <c r="D17" s="87">
        <f t="shared" si="42"/>
        <v>-64852.413500000002</v>
      </c>
      <c r="E17" s="87">
        <f t="shared" si="42"/>
        <v>-14852.413500000002</v>
      </c>
      <c r="F17" s="87">
        <f t="shared" si="42"/>
        <v>-64912.413500000002</v>
      </c>
      <c r="G17" s="87">
        <f t="shared" si="42"/>
        <v>-14912.413500000002</v>
      </c>
      <c r="H17" s="87">
        <f t="shared" si="42"/>
        <v>-17912.413500000002</v>
      </c>
      <c r="I17" s="87">
        <f t="shared" si="42"/>
        <v>-67912.413499999995</v>
      </c>
      <c r="J17" s="87">
        <f t="shared" si="42"/>
        <v>-18092.413500000002</v>
      </c>
      <c r="K17" s="87">
        <f t="shared" si="42"/>
        <v>-18092.413500000002</v>
      </c>
      <c r="L17" s="87">
        <f t="shared" si="42"/>
        <v>-18092.413500000002</v>
      </c>
      <c r="M17" s="87">
        <f t="shared" si="42"/>
        <v>-40092.413500000002</v>
      </c>
      <c r="N17" s="87">
        <f t="shared" si="42"/>
        <v>-58976.484000000011</v>
      </c>
      <c r="O17" s="87">
        <f t="shared" si="42"/>
        <v>-8976.4840000000113</v>
      </c>
      <c r="P17" s="87">
        <f t="shared" si="42"/>
        <v>-8976.4840000000113</v>
      </c>
      <c r="Q17" s="87">
        <f t="shared" si="42"/>
        <v>-8976.4840000000113</v>
      </c>
      <c r="R17" s="87">
        <f t="shared" si="42"/>
        <v>-8976.4840000000113</v>
      </c>
      <c r="S17" s="87">
        <f t="shared" si="42"/>
        <v>-8976.4840000000113</v>
      </c>
      <c r="T17" s="87">
        <f t="shared" si="42"/>
        <v>-8976.4840000000113</v>
      </c>
      <c r="U17" s="87">
        <f t="shared" si="42"/>
        <v>-8976.4840000000113</v>
      </c>
      <c r="V17" s="87">
        <f t="shared" si="42"/>
        <v>-8976.4840000000113</v>
      </c>
      <c r="W17" s="87">
        <f t="shared" si="42"/>
        <v>-8976.4840000000113</v>
      </c>
      <c r="X17" s="87">
        <f t="shared" si="42"/>
        <v>-8976.4840000000113</v>
      </c>
      <c r="Y17" s="87">
        <f t="shared" si="42"/>
        <v>-41976.484000000011</v>
      </c>
      <c r="Z17" s="87">
        <f t="shared" si="42"/>
        <v>28407.501250000001</v>
      </c>
      <c r="AA17" s="87">
        <f t="shared" si="42"/>
        <v>78407.501250000001</v>
      </c>
      <c r="AB17" s="87">
        <f t="shared" si="42"/>
        <v>78407.501250000001</v>
      </c>
      <c r="AC17" s="87">
        <f t="shared" si="42"/>
        <v>78407.501250000001</v>
      </c>
      <c r="AD17" s="87">
        <f t="shared" si="42"/>
        <v>78407.501250000001</v>
      </c>
      <c r="AE17" s="87">
        <f t="shared" si="42"/>
        <v>78407.501250000001</v>
      </c>
      <c r="AF17" s="87">
        <f t="shared" si="42"/>
        <v>78407.501250000001</v>
      </c>
      <c r="AG17" s="87">
        <f t="shared" si="42"/>
        <v>78407.501250000001</v>
      </c>
      <c r="AH17" s="87">
        <f t="shared" si="42"/>
        <v>78407.501250000001</v>
      </c>
      <c r="AI17" s="87">
        <f t="shared" si="42"/>
        <v>78407.501250000001</v>
      </c>
      <c r="AJ17" s="87">
        <f t="shared" si="42"/>
        <v>78407.501250000001</v>
      </c>
      <c r="AK17" s="87">
        <f t="shared" si="42"/>
        <v>56407.501250000001</v>
      </c>
      <c r="AL17" s="87">
        <f t="shared" si="42"/>
        <v>109506.37999999995</v>
      </c>
      <c r="AM17" s="87">
        <f t="shared" si="42"/>
        <v>159506.37999999998</v>
      </c>
      <c r="AN17" s="87">
        <f t="shared" si="42"/>
        <v>159506.37999999998</v>
      </c>
      <c r="AO17" s="87">
        <f t="shared" si="42"/>
        <v>159506.37999999998</v>
      </c>
      <c r="AP17" s="87">
        <f t="shared" si="42"/>
        <v>159506.37999999998</v>
      </c>
      <c r="AQ17" s="87">
        <f t="shared" si="42"/>
        <v>159506.37999999998</v>
      </c>
      <c r="AR17" s="87">
        <f t="shared" si="42"/>
        <v>159506.37999999998</v>
      </c>
      <c r="AS17" s="87">
        <f t="shared" si="42"/>
        <v>159506.37999999998</v>
      </c>
      <c r="AT17" s="87">
        <f t="shared" si="42"/>
        <v>159506.37999999998</v>
      </c>
      <c r="AU17" s="87">
        <f t="shared" si="42"/>
        <v>159506.37999999998</v>
      </c>
      <c r="AV17" s="87">
        <f t="shared" si="42"/>
        <v>154506.37999999998</v>
      </c>
      <c r="AW17" s="87">
        <f t="shared" si="42"/>
        <v>132506.37999999998</v>
      </c>
      <c r="AX17" s="87">
        <f t="shared" si="42"/>
        <v>182644.74</v>
      </c>
      <c r="AY17" s="87">
        <f t="shared" si="42"/>
        <v>232644.74</v>
      </c>
      <c r="AZ17" s="87">
        <f t="shared" si="42"/>
        <v>232644.74</v>
      </c>
      <c r="BA17" s="87">
        <f t="shared" si="42"/>
        <v>232644.74</v>
      </c>
      <c r="BB17" s="87">
        <f t="shared" si="42"/>
        <v>232644.74</v>
      </c>
      <c r="BC17" s="87">
        <f t="shared" si="42"/>
        <v>232644.74</v>
      </c>
      <c r="BD17" s="87">
        <f t="shared" si="42"/>
        <v>232644.74</v>
      </c>
      <c r="BE17" s="87">
        <f t="shared" si="42"/>
        <v>232644.74</v>
      </c>
      <c r="BF17" s="87">
        <f t="shared" si="42"/>
        <v>232644.74</v>
      </c>
      <c r="BG17" s="87">
        <f t="shared" si="42"/>
        <v>232644.74</v>
      </c>
      <c r="BH17" s="87">
        <f t="shared" si="42"/>
        <v>232644.74</v>
      </c>
      <c r="BI17" s="87">
        <f t="shared" si="42"/>
        <v>199644.74</v>
      </c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</row>
    <row r="18" spans="1:131" ht="15.75">
      <c r="A18" s="78" t="s">
        <v>22</v>
      </c>
      <c r="B18" s="88">
        <f>-IF(B17&lt;0,0,0.25*B17)</f>
        <v>0</v>
      </c>
      <c r="C18" s="88">
        <f t="shared" ref="C18:BI18" si="43">-IF(C17&lt;0,0,0.25*C17)</f>
        <v>0</v>
      </c>
      <c r="D18" s="88">
        <f t="shared" si="43"/>
        <v>0</v>
      </c>
      <c r="E18" s="88">
        <f t="shared" si="43"/>
        <v>0</v>
      </c>
      <c r="F18" s="88">
        <f t="shared" si="43"/>
        <v>0</v>
      </c>
      <c r="G18" s="88">
        <f t="shared" si="43"/>
        <v>0</v>
      </c>
      <c r="H18" s="88">
        <f t="shared" si="43"/>
        <v>0</v>
      </c>
      <c r="I18" s="88">
        <f t="shared" si="43"/>
        <v>0</v>
      </c>
      <c r="J18" s="88">
        <f t="shared" si="43"/>
        <v>0</v>
      </c>
      <c r="K18" s="88">
        <f t="shared" si="43"/>
        <v>0</v>
      </c>
      <c r="L18" s="88">
        <f t="shared" si="43"/>
        <v>0</v>
      </c>
      <c r="M18" s="88">
        <f t="shared" si="43"/>
        <v>0</v>
      </c>
      <c r="N18" s="88">
        <f t="shared" si="43"/>
        <v>0</v>
      </c>
      <c r="O18" s="88">
        <f t="shared" si="43"/>
        <v>0</v>
      </c>
      <c r="P18" s="88">
        <f t="shared" si="43"/>
        <v>0</v>
      </c>
      <c r="Q18" s="88">
        <f t="shared" si="43"/>
        <v>0</v>
      </c>
      <c r="R18" s="88">
        <f t="shared" si="43"/>
        <v>0</v>
      </c>
      <c r="S18" s="88">
        <f t="shared" si="43"/>
        <v>0</v>
      </c>
      <c r="T18" s="88">
        <f t="shared" si="43"/>
        <v>0</v>
      </c>
      <c r="U18" s="88">
        <f t="shared" si="43"/>
        <v>0</v>
      </c>
      <c r="V18" s="88">
        <f t="shared" si="43"/>
        <v>0</v>
      </c>
      <c r="W18" s="88">
        <f t="shared" si="43"/>
        <v>0</v>
      </c>
      <c r="X18" s="88">
        <f t="shared" si="43"/>
        <v>0</v>
      </c>
      <c r="Y18" s="88">
        <f t="shared" si="43"/>
        <v>0</v>
      </c>
      <c r="Z18" s="88">
        <f t="shared" si="43"/>
        <v>-7101.8753125000003</v>
      </c>
      <c r="AA18" s="88">
        <f t="shared" si="43"/>
        <v>-19601.8753125</v>
      </c>
      <c r="AB18" s="88">
        <f t="shared" si="43"/>
        <v>-19601.8753125</v>
      </c>
      <c r="AC18" s="88">
        <f t="shared" si="43"/>
        <v>-19601.8753125</v>
      </c>
      <c r="AD18" s="88">
        <f t="shared" si="43"/>
        <v>-19601.8753125</v>
      </c>
      <c r="AE18" s="88">
        <f t="shared" si="43"/>
        <v>-19601.8753125</v>
      </c>
      <c r="AF18" s="88">
        <f t="shared" si="43"/>
        <v>-19601.8753125</v>
      </c>
      <c r="AG18" s="88">
        <f t="shared" si="43"/>
        <v>-19601.8753125</v>
      </c>
      <c r="AH18" s="88">
        <f t="shared" si="43"/>
        <v>-19601.8753125</v>
      </c>
      <c r="AI18" s="88">
        <f t="shared" si="43"/>
        <v>-19601.8753125</v>
      </c>
      <c r="AJ18" s="88">
        <f t="shared" si="43"/>
        <v>-19601.8753125</v>
      </c>
      <c r="AK18" s="88">
        <f t="shared" si="43"/>
        <v>-14101.8753125</v>
      </c>
      <c r="AL18" s="88">
        <f t="shared" si="43"/>
        <v>-27376.594999999987</v>
      </c>
      <c r="AM18" s="88">
        <f t="shared" si="43"/>
        <v>-39876.594999999994</v>
      </c>
      <c r="AN18" s="88">
        <f t="shared" si="43"/>
        <v>-39876.594999999994</v>
      </c>
      <c r="AO18" s="88">
        <f t="shared" si="43"/>
        <v>-39876.594999999994</v>
      </c>
      <c r="AP18" s="88">
        <f t="shared" si="43"/>
        <v>-39876.594999999994</v>
      </c>
      <c r="AQ18" s="88">
        <f t="shared" si="43"/>
        <v>-39876.594999999994</v>
      </c>
      <c r="AR18" s="88">
        <f t="shared" si="43"/>
        <v>-39876.594999999994</v>
      </c>
      <c r="AS18" s="88">
        <f t="shared" si="43"/>
        <v>-39876.594999999994</v>
      </c>
      <c r="AT18" s="88">
        <f t="shared" si="43"/>
        <v>-39876.594999999994</v>
      </c>
      <c r="AU18" s="88">
        <f t="shared" si="43"/>
        <v>-39876.594999999994</v>
      </c>
      <c r="AV18" s="88">
        <f t="shared" si="43"/>
        <v>-38626.594999999994</v>
      </c>
      <c r="AW18" s="88">
        <f t="shared" si="43"/>
        <v>-33126.594999999994</v>
      </c>
      <c r="AX18" s="88">
        <f t="shared" si="43"/>
        <v>-45661.184999999998</v>
      </c>
      <c r="AY18" s="88">
        <f t="shared" si="43"/>
        <v>-58161.184999999998</v>
      </c>
      <c r="AZ18" s="88">
        <f t="shared" si="43"/>
        <v>-58161.184999999998</v>
      </c>
      <c r="BA18" s="88">
        <f t="shared" si="43"/>
        <v>-58161.184999999998</v>
      </c>
      <c r="BB18" s="88">
        <f t="shared" si="43"/>
        <v>-58161.184999999998</v>
      </c>
      <c r="BC18" s="88">
        <f t="shared" si="43"/>
        <v>-58161.184999999998</v>
      </c>
      <c r="BD18" s="88">
        <f t="shared" si="43"/>
        <v>-58161.184999999998</v>
      </c>
      <c r="BE18" s="88">
        <f t="shared" si="43"/>
        <v>-58161.184999999998</v>
      </c>
      <c r="BF18" s="88">
        <f t="shared" si="43"/>
        <v>-58161.184999999998</v>
      </c>
      <c r="BG18" s="88">
        <f t="shared" si="43"/>
        <v>-58161.184999999998</v>
      </c>
      <c r="BH18" s="88">
        <f t="shared" si="43"/>
        <v>-58161.184999999998</v>
      </c>
      <c r="BI18" s="88">
        <f t="shared" si="43"/>
        <v>-49911.184999999998</v>
      </c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</row>
    <row r="19" spans="1:131" ht="15.75">
      <c r="A19" s="78" t="s">
        <v>79</v>
      </c>
      <c r="B19" s="88">
        <f>-IF(B17&lt;0,0,B17*0.09)</f>
        <v>0</v>
      </c>
      <c r="C19" s="88">
        <f t="shared" ref="C19:BI19" si="44">-IF(C17&lt;0,0,C17*0.09)</f>
        <v>0</v>
      </c>
      <c r="D19" s="88">
        <f t="shared" si="44"/>
        <v>0</v>
      </c>
      <c r="E19" s="88">
        <f t="shared" si="44"/>
        <v>0</v>
      </c>
      <c r="F19" s="88">
        <f t="shared" si="44"/>
        <v>0</v>
      </c>
      <c r="G19" s="88">
        <f t="shared" si="44"/>
        <v>0</v>
      </c>
      <c r="H19" s="88">
        <f t="shared" si="44"/>
        <v>0</v>
      </c>
      <c r="I19" s="88">
        <f t="shared" si="44"/>
        <v>0</v>
      </c>
      <c r="J19" s="88">
        <f t="shared" si="44"/>
        <v>0</v>
      </c>
      <c r="K19" s="88">
        <f t="shared" si="44"/>
        <v>0</v>
      </c>
      <c r="L19" s="88">
        <f t="shared" si="44"/>
        <v>0</v>
      </c>
      <c r="M19" s="88">
        <f t="shared" si="44"/>
        <v>0</v>
      </c>
      <c r="N19" s="88">
        <f t="shared" si="44"/>
        <v>0</v>
      </c>
      <c r="O19" s="88">
        <f t="shared" si="44"/>
        <v>0</v>
      </c>
      <c r="P19" s="88">
        <f t="shared" si="44"/>
        <v>0</v>
      </c>
      <c r="Q19" s="88">
        <f t="shared" si="44"/>
        <v>0</v>
      </c>
      <c r="R19" s="88">
        <f t="shared" si="44"/>
        <v>0</v>
      </c>
      <c r="S19" s="88">
        <f t="shared" si="44"/>
        <v>0</v>
      </c>
      <c r="T19" s="88">
        <f t="shared" si="44"/>
        <v>0</v>
      </c>
      <c r="U19" s="88">
        <f t="shared" si="44"/>
        <v>0</v>
      </c>
      <c r="V19" s="88">
        <f t="shared" si="44"/>
        <v>0</v>
      </c>
      <c r="W19" s="88">
        <f t="shared" si="44"/>
        <v>0</v>
      </c>
      <c r="X19" s="88">
        <f t="shared" si="44"/>
        <v>0</v>
      </c>
      <c r="Y19" s="88">
        <f t="shared" si="44"/>
        <v>0</v>
      </c>
      <c r="Z19" s="88">
        <f t="shared" si="44"/>
        <v>-2556.6751125000001</v>
      </c>
      <c r="AA19" s="88">
        <f t="shared" si="44"/>
        <v>-7056.6751125000001</v>
      </c>
      <c r="AB19" s="88">
        <f t="shared" si="44"/>
        <v>-7056.6751125000001</v>
      </c>
      <c r="AC19" s="88">
        <f t="shared" si="44"/>
        <v>-7056.6751125000001</v>
      </c>
      <c r="AD19" s="88">
        <f t="shared" si="44"/>
        <v>-7056.6751125000001</v>
      </c>
      <c r="AE19" s="88">
        <f t="shared" si="44"/>
        <v>-7056.6751125000001</v>
      </c>
      <c r="AF19" s="88">
        <f t="shared" si="44"/>
        <v>-7056.6751125000001</v>
      </c>
      <c r="AG19" s="88">
        <f t="shared" si="44"/>
        <v>-7056.6751125000001</v>
      </c>
      <c r="AH19" s="88">
        <f t="shared" si="44"/>
        <v>-7056.6751125000001</v>
      </c>
      <c r="AI19" s="88">
        <f t="shared" si="44"/>
        <v>-7056.6751125000001</v>
      </c>
      <c r="AJ19" s="88">
        <f t="shared" si="44"/>
        <v>-7056.6751125000001</v>
      </c>
      <c r="AK19" s="88">
        <f t="shared" si="44"/>
        <v>-5076.6751125000001</v>
      </c>
      <c r="AL19" s="88">
        <f t="shared" si="44"/>
        <v>-9855.5741999999955</v>
      </c>
      <c r="AM19" s="88">
        <f t="shared" si="44"/>
        <v>-14355.574199999997</v>
      </c>
      <c r="AN19" s="88">
        <f t="shared" si="44"/>
        <v>-14355.574199999997</v>
      </c>
      <c r="AO19" s="88">
        <f t="shared" si="44"/>
        <v>-14355.574199999997</v>
      </c>
      <c r="AP19" s="88">
        <f t="shared" si="44"/>
        <v>-14355.574199999997</v>
      </c>
      <c r="AQ19" s="88">
        <f t="shared" si="44"/>
        <v>-14355.574199999997</v>
      </c>
      <c r="AR19" s="88">
        <f t="shared" si="44"/>
        <v>-14355.574199999997</v>
      </c>
      <c r="AS19" s="88">
        <f t="shared" si="44"/>
        <v>-14355.574199999997</v>
      </c>
      <c r="AT19" s="88">
        <f t="shared" si="44"/>
        <v>-14355.574199999997</v>
      </c>
      <c r="AU19" s="88">
        <f t="shared" si="44"/>
        <v>-14355.574199999997</v>
      </c>
      <c r="AV19" s="88">
        <f t="shared" si="44"/>
        <v>-13905.574199999997</v>
      </c>
      <c r="AW19" s="88">
        <f t="shared" si="44"/>
        <v>-11925.574199999997</v>
      </c>
      <c r="AX19" s="88">
        <f t="shared" si="44"/>
        <v>-16438.026599999997</v>
      </c>
      <c r="AY19" s="88">
        <f t="shared" si="44"/>
        <v>-20938.026599999997</v>
      </c>
      <c r="AZ19" s="88">
        <f t="shared" si="44"/>
        <v>-20938.026599999997</v>
      </c>
      <c r="BA19" s="88">
        <f t="shared" si="44"/>
        <v>-20938.026599999997</v>
      </c>
      <c r="BB19" s="88">
        <f t="shared" si="44"/>
        <v>-20938.026599999997</v>
      </c>
      <c r="BC19" s="88">
        <f t="shared" si="44"/>
        <v>-20938.026599999997</v>
      </c>
      <c r="BD19" s="88">
        <f t="shared" si="44"/>
        <v>-20938.026599999997</v>
      </c>
      <c r="BE19" s="88">
        <f t="shared" si="44"/>
        <v>-20938.026599999997</v>
      </c>
      <c r="BF19" s="88">
        <f t="shared" si="44"/>
        <v>-20938.026599999997</v>
      </c>
      <c r="BG19" s="88">
        <f t="shared" si="44"/>
        <v>-20938.026599999997</v>
      </c>
      <c r="BH19" s="88">
        <f t="shared" si="44"/>
        <v>-20938.026599999997</v>
      </c>
      <c r="BI19" s="88">
        <f t="shared" si="44"/>
        <v>-17968.026599999997</v>
      </c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</row>
    <row r="20" spans="1:131" s="80" customFormat="1" ht="15.75">
      <c r="A20" s="75" t="s">
        <v>87</v>
      </c>
      <c r="B20" s="81">
        <f>B17+B18+B19</f>
        <v>-107552.4135</v>
      </c>
      <c r="C20" s="81">
        <f t="shared" ref="C20:BI20" si="45">C17+C18+C19</f>
        <v>-13502.413500000002</v>
      </c>
      <c r="D20" s="81">
        <f t="shared" si="45"/>
        <v>-64852.413500000002</v>
      </c>
      <c r="E20" s="81">
        <f t="shared" si="45"/>
        <v>-14852.413500000002</v>
      </c>
      <c r="F20" s="81">
        <f t="shared" si="45"/>
        <v>-64912.413500000002</v>
      </c>
      <c r="G20" s="81">
        <f t="shared" si="45"/>
        <v>-14912.413500000002</v>
      </c>
      <c r="H20" s="81">
        <f t="shared" si="45"/>
        <v>-17912.413500000002</v>
      </c>
      <c r="I20" s="81">
        <f t="shared" si="45"/>
        <v>-67912.413499999995</v>
      </c>
      <c r="J20" s="81">
        <f t="shared" si="45"/>
        <v>-18092.413500000002</v>
      </c>
      <c r="K20" s="81">
        <f t="shared" si="45"/>
        <v>-18092.413500000002</v>
      </c>
      <c r="L20" s="81">
        <f t="shared" si="45"/>
        <v>-18092.413500000002</v>
      </c>
      <c r="M20" s="81">
        <f t="shared" si="45"/>
        <v>-40092.413500000002</v>
      </c>
      <c r="N20" s="81">
        <f t="shared" si="45"/>
        <v>-58976.484000000011</v>
      </c>
      <c r="O20" s="81">
        <f t="shared" si="45"/>
        <v>-8976.4840000000113</v>
      </c>
      <c r="P20" s="81">
        <f t="shared" si="45"/>
        <v>-8976.4840000000113</v>
      </c>
      <c r="Q20" s="81">
        <f t="shared" si="45"/>
        <v>-8976.4840000000113</v>
      </c>
      <c r="R20" s="81">
        <f t="shared" si="45"/>
        <v>-8976.4840000000113</v>
      </c>
      <c r="S20" s="81">
        <f t="shared" si="45"/>
        <v>-8976.4840000000113</v>
      </c>
      <c r="T20" s="81">
        <f t="shared" si="45"/>
        <v>-8976.4840000000113</v>
      </c>
      <c r="U20" s="81">
        <f t="shared" si="45"/>
        <v>-8976.4840000000113</v>
      </c>
      <c r="V20" s="81">
        <f t="shared" si="45"/>
        <v>-8976.4840000000113</v>
      </c>
      <c r="W20" s="81">
        <f t="shared" si="45"/>
        <v>-8976.4840000000113</v>
      </c>
      <c r="X20" s="81">
        <f t="shared" si="45"/>
        <v>-8976.4840000000113</v>
      </c>
      <c r="Y20" s="81">
        <f t="shared" si="45"/>
        <v>-41976.484000000011</v>
      </c>
      <c r="Z20" s="81">
        <f t="shared" si="45"/>
        <v>18748.950825</v>
      </c>
      <c r="AA20" s="81">
        <f t="shared" si="45"/>
        <v>51748.950825</v>
      </c>
      <c r="AB20" s="81">
        <f t="shared" si="45"/>
        <v>51748.950825</v>
      </c>
      <c r="AC20" s="81">
        <f t="shared" si="45"/>
        <v>51748.950825</v>
      </c>
      <c r="AD20" s="81">
        <f t="shared" si="45"/>
        <v>51748.950825</v>
      </c>
      <c r="AE20" s="81">
        <f t="shared" si="45"/>
        <v>51748.950825</v>
      </c>
      <c r="AF20" s="81">
        <f t="shared" si="45"/>
        <v>51748.950825</v>
      </c>
      <c r="AG20" s="81">
        <f t="shared" si="45"/>
        <v>51748.950825</v>
      </c>
      <c r="AH20" s="81">
        <f t="shared" si="45"/>
        <v>51748.950825</v>
      </c>
      <c r="AI20" s="81">
        <f t="shared" si="45"/>
        <v>51748.950825</v>
      </c>
      <c r="AJ20" s="81">
        <f t="shared" si="45"/>
        <v>51748.950825</v>
      </c>
      <c r="AK20" s="81">
        <f t="shared" si="45"/>
        <v>37228.950825</v>
      </c>
      <c r="AL20" s="81">
        <f t="shared" si="45"/>
        <v>72274.210799999972</v>
      </c>
      <c r="AM20" s="81">
        <f t="shared" si="45"/>
        <v>105274.21079999997</v>
      </c>
      <c r="AN20" s="81">
        <f t="shared" si="45"/>
        <v>105274.21079999997</v>
      </c>
      <c r="AO20" s="81">
        <f t="shared" si="45"/>
        <v>105274.21079999997</v>
      </c>
      <c r="AP20" s="81">
        <f t="shared" si="45"/>
        <v>105274.21079999997</v>
      </c>
      <c r="AQ20" s="81">
        <f t="shared" si="45"/>
        <v>105274.21079999997</v>
      </c>
      <c r="AR20" s="81">
        <f t="shared" si="45"/>
        <v>105274.21079999997</v>
      </c>
      <c r="AS20" s="81">
        <f t="shared" si="45"/>
        <v>105274.21079999997</v>
      </c>
      <c r="AT20" s="81">
        <f t="shared" si="45"/>
        <v>105274.21079999997</v>
      </c>
      <c r="AU20" s="81">
        <f t="shared" si="45"/>
        <v>105274.21079999997</v>
      </c>
      <c r="AV20" s="81">
        <f t="shared" si="45"/>
        <v>101974.21079999997</v>
      </c>
      <c r="AW20" s="81">
        <f t="shared" si="45"/>
        <v>87454.210799999972</v>
      </c>
      <c r="AX20" s="81">
        <f t="shared" si="45"/>
        <v>120545.5284</v>
      </c>
      <c r="AY20" s="81">
        <f t="shared" si="45"/>
        <v>153545.52840000001</v>
      </c>
      <c r="AZ20" s="81">
        <f t="shared" si="45"/>
        <v>153545.52840000001</v>
      </c>
      <c r="BA20" s="81">
        <f t="shared" si="45"/>
        <v>153545.52840000001</v>
      </c>
      <c r="BB20" s="81">
        <f t="shared" si="45"/>
        <v>153545.52840000001</v>
      </c>
      <c r="BC20" s="81">
        <f t="shared" si="45"/>
        <v>153545.52840000001</v>
      </c>
      <c r="BD20" s="81">
        <f t="shared" si="45"/>
        <v>153545.52840000001</v>
      </c>
      <c r="BE20" s="81">
        <f t="shared" si="45"/>
        <v>153545.52840000001</v>
      </c>
      <c r="BF20" s="81">
        <f t="shared" si="45"/>
        <v>153545.52840000001</v>
      </c>
      <c r="BG20" s="81">
        <f t="shared" si="45"/>
        <v>153545.52840000001</v>
      </c>
      <c r="BH20" s="81">
        <f t="shared" si="45"/>
        <v>153545.52840000001</v>
      </c>
      <c r="BI20" s="81">
        <f t="shared" si="45"/>
        <v>131765.52840000001</v>
      </c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</row>
    <row r="21" spans="1:131">
      <c r="A21" s="89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</row>
    <row r="22" spans="1:131" s="39" customFormat="1" ht="15.75">
      <c r="A22" s="90" t="s">
        <v>89</v>
      </c>
      <c r="B22" s="83">
        <f>B20</f>
        <v>-107552.4135</v>
      </c>
      <c r="C22" s="83">
        <f>B22+C20</f>
        <v>-121054.82699999999</v>
      </c>
      <c r="D22" s="83">
        <f>C22+D20</f>
        <v>-185907.24049999999</v>
      </c>
      <c r="E22" s="83">
        <f t="shared" ref="E22:BI22" si="46">D22+E20</f>
        <v>-200759.65399999998</v>
      </c>
      <c r="F22" s="83">
        <f t="shared" si="46"/>
        <v>-265672.0675</v>
      </c>
      <c r="G22" s="83">
        <f t="shared" si="46"/>
        <v>-280584.48100000003</v>
      </c>
      <c r="H22" s="83">
        <f t="shared" si="46"/>
        <v>-298496.89450000005</v>
      </c>
      <c r="I22" s="83">
        <f t="shared" si="46"/>
        <v>-366409.30800000008</v>
      </c>
      <c r="J22" s="83">
        <f t="shared" si="46"/>
        <v>-384501.7215000001</v>
      </c>
      <c r="K22" s="83">
        <f t="shared" si="46"/>
        <v>-402594.13500000013</v>
      </c>
      <c r="L22" s="83">
        <f t="shared" si="46"/>
        <v>-420686.54850000015</v>
      </c>
      <c r="M22" s="83">
        <f t="shared" si="46"/>
        <v>-460778.96200000017</v>
      </c>
      <c r="N22" s="83">
        <f t="shared" si="46"/>
        <v>-519755.44600000017</v>
      </c>
      <c r="O22" s="83">
        <f t="shared" si="46"/>
        <v>-528731.93000000017</v>
      </c>
      <c r="P22" s="83">
        <f t="shared" si="46"/>
        <v>-537708.41400000022</v>
      </c>
      <c r="Q22" s="83">
        <f t="shared" si="46"/>
        <v>-546684.89800000028</v>
      </c>
      <c r="R22" s="83">
        <f t="shared" si="46"/>
        <v>-555661.38200000033</v>
      </c>
      <c r="S22" s="83">
        <f t="shared" si="46"/>
        <v>-564637.86600000039</v>
      </c>
      <c r="T22" s="83">
        <f t="shared" si="46"/>
        <v>-573614.35000000044</v>
      </c>
      <c r="U22" s="83">
        <f t="shared" si="46"/>
        <v>-582590.8340000005</v>
      </c>
      <c r="V22" s="83">
        <f t="shared" si="46"/>
        <v>-591567.31800000055</v>
      </c>
      <c r="W22" s="83">
        <f t="shared" si="46"/>
        <v>-600543.80200000061</v>
      </c>
      <c r="X22" s="83">
        <f t="shared" si="46"/>
        <v>-609520.28600000066</v>
      </c>
      <c r="Y22" s="83">
        <f t="shared" si="46"/>
        <v>-651496.77000000072</v>
      </c>
      <c r="Z22" s="83">
        <f t="shared" si="46"/>
        <v>-632747.81917500077</v>
      </c>
      <c r="AA22" s="83">
        <f t="shared" si="46"/>
        <v>-580998.86835000082</v>
      </c>
      <c r="AB22" s="83">
        <f t="shared" si="46"/>
        <v>-529249.91752500087</v>
      </c>
      <c r="AC22" s="83">
        <f t="shared" si="46"/>
        <v>-477500.96670000086</v>
      </c>
      <c r="AD22" s="83">
        <f t="shared" si="46"/>
        <v>-425752.01587500086</v>
      </c>
      <c r="AE22" s="83">
        <f t="shared" si="46"/>
        <v>-374003.06505000085</v>
      </c>
      <c r="AF22" s="83">
        <f t="shared" si="46"/>
        <v>-322254.11422500084</v>
      </c>
      <c r="AG22" s="83">
        <f t="shared" si="46"/>
        <v>-270505.16340000083</v>
      </c>
      <c r="AH22" s="83">
        <f t="shared" si="46"/>
        <v>-218756.21257500083</v>
      </c>
      <c r="AI22" s="83">
        <f t="shared" si="46"/>
        <v>-167007.26175000082</v>
      </c>
      <c r="AJ22" s="83">
        <f t="shared" si="46"/>
        <v>-115258.31092500081</v>
      </c>
      <c r="AK22" s="83">
        <f t="shared" si="46"/>
        <v>-78029.360100000806</v>
      </c>
      <c r="AL22" s="83">
        <f t="shared" si="46"/>
        <v>-5755.149300000834</v>
      </c>
      <c r="AM22" s="83">
        <f t="shared" si="46"/>
        <v>99519.061499999138</v>
      </c>
      <c r="AN22" s="83">
        <f t="shared" si="46"/>
        <v>204793.27229999911</v>
      </c>
      <c r="AO22" s="83">
        <f t="shared" si="46"/>
        <v>310067.48309999908</v>
      </c>
      <c r="AP22" s="83">
        <f t="shared" si="46"/>
        <v>415341.69389999902</v>
      </c>
      <c r="AQ22" s="83">
        <f t="shared" si="46"/>
        <v>520615.90469999902</v>
      </c>
      <c r="AR22" s="83">
        <f t="shared" si="46"/>
        <v>625890.11549999902</v>
      </c>
      <c r="AS22" s="83">
        <f t="shared" si="46"/>
        <v>731164.32629999903</v>
      </c>
      <c r="AT22" s="83">
        <f t="shared" si="46"/>
        <v>836438.53709999903</v>
      </c>
      <c r="AU22" s="83">
        <f t="shared" si="46"/>
        <v>941712.74789999903</v>
      </c>
      <c r="AV22" s="83">
        <f t="shared" si="46"/>
        <v>1043686.958699999</v>
      </c>
      <c r="AW22" s="83">
        <f t="shared" si="46"/>
        <v>1131141.1694999989</v>
      </c>
      <c r="AX22" s="83">
        <f t="shared" si="46"/>
        <v>1251686.6978999989</v>
      </c>
      <c r="AY22" s="83">
        <f t="shared" si="46"/>
        <v>1405232.2262999988</v>
      </c>
      <c r="AZ22" s="83">
        <f t="shared" si="46"/>
        <v>1558777.7546999988</v>
      </c>
      <c r="BA22" s="83">
        <f t="shared" si="46"/>
        <v>1712323.2830999987</v>
      </c>
      <c r="BB22" s="83">
        <f t="shared" si="46"/>
        <v>1865868.8114999987</v>
      </c>
      <c r="BC22" s="83">
        <f t="shared" si="46"/>
        <v>2019414.3398999986</v>
      </c>
      <c r="BD22" s="83">
        <f t="shared" si="46"/>
        <v>2172959.8682999988</v>
      </c>
      <c r="BE22" s="83">
        <f t="shared" si="46"/>
        <v>2326505.396699999</v>
      </c>
      <c r="BF22" s="83">
        <f t="shared" si="46"/>
        <v>2480050.9250999992</v>
      </c>
      <c r="BG22" s="83">
        <f t="shared" si="46"/>
        <v>2633596.4534999994</v>
      </c>
      <c r="BH22" s="83">
        <f t="shared" si="46"/>
        <v>2787141.9818999995</v>
      </c>
      <c r="BI22" s="83">
        <f t="shared" si="46"/>
        <v>2918907.5102999997</v>
      </c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</row>
    <row r="23" spans="1:131">
      <c r="A23" s="156"/>
      <c r="B23" s="140"/>
      <c r="C23" s="140"/>
      <c r="D23" s="140"/>
      <c r="E23" s="140"/>
      <c r="F23" s="140"/>
      <c r="G23" s="140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</row>
    <row r="24" spans="1:131" ht="15.75">
      <c r="A24" s="217" t="s">
        <v>110</v>
      </c>
      <c r="B24" s="218" t="s">
        <v>93</v>
      </c>
      <c r="C24" s="218" t="s">
        <v>94</v>
      </c>
      <c r="D24" s="218" t="s">
        <v>95</v>
      </c>
      <c r="E24" s="218" t="s">
        <v>96</v>
      </c>
      <c r="F24" s="218" t="s">
        <v>97</v>
      </c>
      <c r="G24" s="140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</row>
    <row r="25" spans="1:131">
      <c r="A25" s="219" t="s">
        <v>125</v>
      </c>
      <c r="B25" s="220">
        <f>SUM(B5:M5)</f>
        <v>2394</v>
      </c>
      <c r="C25" s="220">
        <f>SUM(N5:Y5)</f>
        <v>9576</v>
      </c>
      <c r="D25" s="220">
        <f>SUM(Z5:AK5)</f>
        <v>29925</v>
      </c>
      <c r="E25" s="220">
        <f>SUM(AL5:AW5)</f>
        <v>47879.999999999993</v>
      </c>
      <c r="F25" s="220">
        <f>SUM(AX5:BI5)</f>
        <v>79800</v>
      </c>
      <c r="G25" s="140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</row>
    <row r="26" spans="1:131">
      <c r="A26" s="219" t="s">
        <v>169</v>
      </c>
      <c r="B26" s="220">
        <f>SUM(B6:M6)</f>
        <v>2394</v>
      </c>
      <c r="C26" s="220">
        <f>SUM(N6:Y6)</f>
        <v>9576</v>
      </c>
      <c r="D26" s="220">
        <f>SUM(Z6:AK6)</f>
        <v>29925</v>
      </c>
      <c r="E26" s="220">
        <f>SUM(AL6:AW6)</f>
        <v>47879.999999999993</v>
      </c>
      <c r="F26" s="220">
        <f>SUM(AX6:BI6)</f>
        <v>79800</v>
      </c>
      <c r="G26" s="140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</row>
    <row r="27" spans="1:131">
      <c r="A27" s="219" t="s">
        <v>137</v>
      </c>
      <c r="B27" s="220">
        <f>SUM(B7:M7)</f>
        <v>504000</v>
      </c>
      <c r="C27" s="220">
        <f t="shared" ref="C27:C29" si="47">SUM(N7:Y7)</f>
        <v>1344000</v>
      </c>
      <c r="D27" s="220">
        <f t="shared" ref="D27:D29" si="48">SUM(Z7:AK7)</f>
        <v>2520000</v>
      </c>
      <c r="E27" s="220">
        <f t="shared" ref="E27:E29" si="49">SUM(AL7:AW7)</f>
        <v>4032000</v>
      </c>
      <c r="F27" s="220">
        <f t="shared" ref="F27:F29" si="50">SUM(AX7:BI7)</f>
        <v>5376000</v>
      </c>
      <c r="G27" s="140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</row>
    <row r="28" spans="1:131">
      <c r="A28" s="219" t="s">
        <v>138</v>
      </c>
      <c r="B28" s="220">
        <f t="shared" ref="B28:B29" si="51">SUM(B8:M8)</f>
        <v>90720</v>
      </c>
      <c r="C28" s="220">
        <f t="shared" si="47"/>
        <v>241920</v>
      </c>
      <c r="D28" s="220">
        <f t="shared" si="48"/>
        <v>453600</v>
      </c>
      <c r="E28" s="220">
        <f t="shared" si="49"/>
        <v>725760</v>
      </c>
      <c r="F28" s="220">
        <f t="shared" si="50"/>
        <v>967680</v>
      </c>
      <c r="G28" s="140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</row>
    <row r="29" spans="1:131">
      <c r="A29" s="219" t="s">
        <v>139</v>
      </c>
      <c r="B29" s="220">
        <f t="shared" si="51"/>
        <v>15120</v>
      </c>
      <c r="C29" s="220">
        <f t="shared" si="47"/>
        <v>40320</v>
      </c>
      <c r="D29" s="220">
        <f t="shared" si="48"/>
        <v>75600</v>
      </c>
      <c r="E29" s="220">
        <f t="shared" si="49"/>
        <v>120960</v>
      </c>
      <c r="F29" s="220">
        <f t="shared" si="50"/>
        <v>161280</v>
      </c>
      <c r="G29" s="140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</row>
    <row r="30" spans="1:131" ht="15.75">
      <c r="A30" s="221" t="s">
        <v>107</v>
      </c>
      <c r="B30" s="220">
        <f t="shared" ref="B30:B39" si="52">SUM(B10:M10)</f>
        <v>614628</v>
      </c>
      <c r="C30" s="220">
        <f t="shared" ref="C30:C39" si="53">SUM(N10:Y10)</f>
        <v>1645392</v>
      </c>
      <c r="D30" s="220">
        <f t="shared" ref="D30:D39" si="54">SUM(Z10:AK10)</f>
        <v>3109050</v>
      </c>
      <c r="E30" s="220">
        <f t="shared" ref="E30:E39" si="55">SUM(AL10:AW10)</f>
        <v>4974480</v>
      </c>
      <c r="F30" s="220">
        <f t="shared" ref="F30:F39" si="56">SUM(AX10:BI10)</f>
        <v>6664560</v>
      </c>
      <c r="G30" s="140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</row>
    <row r="31" spans="1:131" ht="15.75">
      <c r="A31" s="222" t="s">
        <v>108</v>
      </c>
      <c r="B31" s="220">
        <f t="shared" si="52"/>
        <v>53165.322000000007</v>
      </c>
      <c r="C31" s="220">
        <f t="shared" si="53"/>
        <v>142326.408</v>
      </c>
      <c r="D31" s="220">
        <f t="shared" si="54"/>
        <v>268932.82500000001</v>
      </c>
      <c r="E31" s="220">
        <f t="shared" si="55"/>
        <v>430292.52000000008</v>
      </c>
      <c r="F31" s="220">
        <f t="shared" si="56"/>
        <v>576484.43999999994</v>
      </c>
      <c r="G31" s="140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</row>
    <row r="32" spans="1:131" ht="15.75">
      <c r="A32" s="221" t="s">
        <v>109</v>
      </c>
      <c r="B32" s="220">
        <f t="shared" si="52"/>
        <v>561462.67799999996</v>
      </c>
      <c r="C32" s="220">
        <f t="shared" si="53"/>
        <v>1503065.5919999999</v>
      </c>
      <c r="D32" s="220">
        <f t="shared" si="54"/>
        <v>2840117.1749999993</v>
      </c>
      <c r="E32" s="220">
        <f t="shared" si="55"/>
        <v>4544187.4799999995</v>
      </c>
      <c r="F32" s="220">
        <f t="shared" si="56"/>
        <v>6088075.5599999996</v>
      </c>
      <c r="G32" s="140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</row>
    <row r="33" spans="1:131" ht="15.75">
      <c r="A33" s="222" t="s">
        <v>26</v>
      </c>
      <c r="B33" s="220">
        <f t="shared" si="52"/>
        <v>596360</v>
      </c>
      <c r="C33" s="220">
        <f t="shared" si="53"/>
        <v>969344</v>
      </c>
      <c r="D33" s="220">
        <f t="shared" si="54"/>
        <v>1009112</v>
      </c>
      <c r="E33" s="220">
        <f t="shared" si="55"/>
        <v>1453440</v>
      </c>
      <c r="F33" s="220">
        <f t="shared" si="56"/>
        <v>1849112</v>
      </c>
      <c r="G33" s="140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</row>
    <row r="34" spans="1:131" ht="15.75">
      <c r="A34" s="222" t="s">
        <v>114</v>
      </c>
      <c r="B34" s="220">
        <f t="shared" si="52"/>
        <v>47400</v>
      </c>
      <c r="C34" s="220">
        <f t="shared" si="53"/>
        <v>33000</v>
      </c>
      <c r="D34" s="220">
        <f t="shared" si="54"/>
        <v>22000</v>
      </c>
      <c r="E34" s="220">
        <f t="shared" si="55"/>
        <v>22000</v>
      </c>
      <c r="F34" s="220">
        <f t="shared" si="56"/>
        <v>33000</v>
      </c>
      <c r="G34" s="140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</row>
    <row r="35" spans="1:131" ht="15.75">
      <c r="A35" s="222" t="s">
        <v>27</v>
      </c>
      <c r="B35" s="220">
        <f t="shared" si="52"/>
        <v>202129.64</v>
      </c>
      <c r="C35" s="220">
        <f t="shared" si="53"/>
        <v>362735.40000000008</v>
      </c>
      <c r="D35" s="220">
        <f t="shared" si="54"/>
        <v>459059.16</v>
      </c>
      <c r="E35" s="220">
        <f t="shared" si="55"/>
        <v>603262.92000000016</v>
      </c>
      <c r="F35" s="220">
        <f t="shared" si="56"/>
        <v>711466.68</v>
      </c>
      <c r="G35" s="140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</row>
    <row r="36" spans="1:131" ht="15.75">
      <c r="A36" s="222" t="s">
        <v>80</v>
      </c>
      <c r="B36" s="220">
        <f t="shared" si="52"/>
        <v>176352</v>
      </c>
      <c r="C36" s="220">
        <f t="shared" si="53"/>
        <v>328704</v>
      </c>
      <c r="D36" s="220">
        <f t="shared" si="54"/>
        <v>481056</v>
      </c>
      <c r="E36" s="220">
        <f t="shared" si="55"/>
        <v>633408</v>
      </c>
      <c r="F36" s="220">
        <f t="shared" si="56"/>
        <v>785760</v>
      </c>
      <c r="G36" s="140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</row>
    <row r="37" spans="1:131" ht="15.75">
      <c r="A37" s="221" t="s">
        <v>86</v>
      </c>
      <c r="B37" s="220">
        <f t="shared" si="52"/>
        <v>-460778.96200000017</v>
      </c>
      <c r="C37" s="220">
        <f t="shared" si="53"/>
        <v>-190717.80800000014</v>
      </c>
      <c r="D37" s="220">
        <f t="shared" si="54"/>
        <v>868890.01499999978</v>
      </c>
      <c r="E37" s="220">
        <f t="shared" si="55"/>
        <v>1832076.5599999994</v>
      </c>
      <c r="F37" s="220">
        <f t="shared" si="56"/>
        <v>2708736.88</v>
      </c>
      <c r="G37" s="140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</row>
    <row r="38" spans="1:131" ht="15.75">
      <c r="A38" s="222" t="s">
        <v>22</v>
      </c>
      <c r="B38" s="220">
        <f t="shared" si="52"/>
        <v>0</v>
      </c>
      <c r="C38" s="220">
        <f t="shared" si="53"/>
        <v>0</v>
      </c>
      <c r="D38" s="220">
        <f t="shared" si="54"/>
        <v>-217222.50374999995</v>
      </c>
      <c r="E38" s="220">
        <f t="shared" si="55"/>
        <v>-458019.13999999984</v>
      </c>
      <c r="F38" s="220">
        <f t="shared" si="56"/>
        <v>-677184.22</v>
      </c>
      <c r="G38" s="140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</row>
    <row r="39" spans="1:131" ht="15.75">
      <c r="A39" s="222" t="s">
        <v>79</v>
      </c>
      <c r="B39" s="220">
        <f t="shared" si="52"/>
        <v>0</v>
      </c>
      <c r="C39" s="220">
        <f t="shared" si="53"/>
        <v>0</v>
      </c>
      <c r="D39" s="220">
        <f t="shared" si="54"/>
        <v>-78200.101349999997</v>
      </c>
      <c r="E39" s="220">
        <f t="shared" si="55"/>
        <v>-164886.8904</v>
      </c>
      <c r="F39" s="220">
        <f t="shared" si="56"/>
        <v>-243786.31919999991</v>
      </c>
      <c r="G39" s="140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</row>
    <row r="40" spans="1:131" ht="15.75">
      <c r="A40" s="217" t="s">
        <v>66</v>
      </c>
      <c r="B40" s="223">
        <f>SUM(B20:M20)</f>
        <v>-460778.96200000017</v>
      </c>
      <c r="C40" s="223">
        <f>SUM(N20:Y20)</f>
        <v>-190717.80800000014</v>
      </c>
      <c r="D40" s="223">
        <f>SUM(Z20:AK20)</f>
        <v>573467.40989999997</v>
      </c>
      <c r="E40" s="223">
        <f>SUM(AL20:AW20)</f>
        <v>1209170.5295999998</v>
      </c>
      <c r="F40" s="223">
        <f>SUM(AX20:BI20)</f>
        <v>1787766.3407999997</v>
      </c>
      <c r="G40" s="141"/>
      <c r="H40" s="27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</row>
    <row r="41" spans="1:131" ht="15.75">
      <c r="A41" s="142" t="s">
        <v>67</v>
      </c>
      <c r="B41" s="143">
        <v>0.1</v>
      </c>
      <c r="C41" s="144"/>
      <c r="D41" s="144"/>
      <c r="E41" s="144"/>
      <c r="F41" s="144"/>
      <c r="G41" s="140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</row>
    <row r="42" spans="1:131" ht="15.75">
      <c r="A42" s="142" t="s">
        <v>68</v>
      </c>
      <c r="B42" s="145">
        <f>NPV(B41,B40:F40)</f>
        <v>1790288.547495388</v>
      </c>
      <c r="C42" s="144"/>
      <c r="D42" s="144"/>
      <c r="E42" s="144"/>
      <c r="F42" s="144"/>
      <c r="G42" s="146"/>
      <c r="H42" s="92"/>
      <c r="I42" s="92"/>
      <c r="J42" s="92"/>
      <c r="K42" s="28"/>
      <c r="L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</row>
    <row r="43" spans="1:131" ht="15.75">
      <c r="A43" s="147" t="s">
        <v>111</v>
      </c>
      <c r="B43" s="190">
        <v>640253.25</v>
      </c>
      <c r="C43" s="191" t="s">
        <v>190</v>
      </c>
      <c r="D43" s="192"/>
      <c r="E43" s="149"/>
      <c r="F43" s="149"/>
      <c r="G43" s="150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</row>
    <row r="44" spans="1:131" ht="15.75">
      <c r="A44" s="147" t="s">
        <v>118</v>
      </c>
      <c r="B44" s="151">
        <f>IRR(B40:F40)</f>
        <v>0.78619197984350486</v>
      </c>
      <c r="C44" s="148" t="s">
        <v>119</v>
      </c>
      <c r="D44" s="140"/>
      <c r="E44" s="149"/>
      <c r="F44" s="149"/>
      <c r="G44" s="140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</row>
    <row r="45" spans="1:131" ht="15.75">
      <c r="A45" s="147" t="s">
        <v>120</v>
      </c>
      <c r="B45" s="152">
        <f>B42</f>
        <v>1790288.547495388</v>
      </c>
      <c r="C45" s="140"/>
      <c r="D45" s="153"/>
      <c r="E45" s="140"/>
      <c r="F45" s="140"/>
      <c r="G45" s="140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</row>
    <row r="46" spans="1:131" ht="15.75">
      <c r="A46" s="147" t="s">
        <v>121</v>
      </c>
      <c r="B46" s="154">
        <f>B45+B43</f>
        <v>2430541.797495388</v>
      </c>
      <c r="C46" s="140"/>
      <c r="D46" s="140"/>
      <c r="E46" s="140"/>
      <c r="F46" s="140"/>
      <c r="G46" s="140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</row>
    <row r="47" spans="1:131" ht="15.75">
      <c r="A47" s="147" t="s">
        <v>122</v>
      </c>
      <c r="B47" s="155">
        <f>B43/B46</f>
        <v>0.26341997107795673</v>
      </c>
      <c r="C47" s="140"/>
      <c r="D47" s="140"/>
      <c r="E47" s="140"/>
      <c r="F47" s="140"/>
      <c r="G47" s="140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</row>
    <row r="48" spans="1:131">
      <c r="A48" s="140"/>
      <c r="B48" s="140"/>
      <c r="C48" s="140"/>
      <c r="D48" s="140"/>
      <c r="E48" s="140"/>
      <c r="F48" s="140"/>
      <c r="G48" s="140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</row>
    <row r="49" spans="62:111"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</row>
    <row r="50" spans="62:111"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</row>
    <row r="51" spans="62:111"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</row>
    <row r="52" spans="62:111"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</row>
    <row r="53" spans="62:111"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</row>
    <row r="54" spans="62:111"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</row>
    <row r="55" spans="62:111"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</row>
    <row r="56" spans="62:111"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</row>
    <row r="57" spans="62:111"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</row>
    <row r="58" spans="62:111"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</row>
    <row r="59" spans="62:111"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</row>
    <row r="60" spans="62:111"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</row>
    <row r="61" spans="62:111"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</row>
    <row r="62" spans="62:111"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</row>
    <row r="63" spans="62:111"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</row>
    <row r="64" spans="62:111"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</row>
    <row r="65" spans="62:111"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</row>
    <row r="66" spans="62:111"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</row>
    <row r="67" spans="62:111"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</row>
    <row r="68" spans="62:111"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</row>
    <row r="69" spans="62:111"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</row>
    <row r="70" spans="62:111"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</row>
    <row r="71" spans="62:111"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</row>
    <row r="72" spans="62:111"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</row>
    <row r="73" spans="62:111"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</row>
    <row r="74" spans="62:111"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</row>
    <row r="75" spans="62:111"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</row>
    <row r="76" spans="62:111"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</row>
    <row r="77" spans="62:111"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</row>
    <row r="78" spans="62:111"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</row>
    <row r="79" spans="62:111"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</row>
    <row r="80" spans="62:111"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</row>
    <row r="81" spans="62:111"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</row>
    <row r="82" spans="62:111"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</row>
    <row r="83" spans="62:111"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</row>
    <row r="84" spans="62:111"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</row>
    <row r="85" spans="62:111"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</row>
    <row r="86" spans="62:111"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</row>
    <row r="87" spans="62:111"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</row>
    <row r="88" spans="62:111"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</row>
    <row r="89" spans="62:111"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</row>
    <row r="90" spans="62:111"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</row>
    <row r="91" spans="62:111"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</row>
    <row r="92" spans="62:111"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</row>
    <row r="93" spans="62:111"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</row>
    <row r="94" spans="62:111"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</row>
    <row r="95" spans="62:111"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</row>
    <row r="96" spans="62:111"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</row>
    <row r="97" spans="62:111"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</row>
    <row r="98" spans="62:111"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</row>
    <row r="99" spans="62:111"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</row>
    <row r="100" spans="62:111"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</row>
    <row r="101" spans="62:111"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</row>
    <row r="102" spans="62:111"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</row>
    <row r="103" spans="62:111"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</row>
    <row r="104" spans="62:111"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</row>
    <row r="105" spans="62:111"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</row>
    <row r="106" spans="62:111"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</row>
    <row r="107" spans="62:111"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</row>
    <row r="108" spans="62:111"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</row>
    <row r="109" spans="62:111"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</row>
    <row r="110" spans="62:111"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</row>
    <row r="111" spans="62:111"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</row>
    <row r="112" spans="62:111"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</row>
    <row r="113" spans="62:111"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</row>
    <row r="114" spans="62:111"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</row>
    <row r="115" spans="62:111"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</row>
    <row r="116" spans="62:111"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</row>
    <row r="117" spans="62:111"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</row>
    <row r="118" spans="62:111"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</row>
    <row r="119" spans="62:111"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</row>
    <row r="120" spans="62:111"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</row>
    <row r="121" spans="62:111"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</row>
    <row r="122" spans="62:111"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</row>
    <row r="123" spans="62:111"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</row>
    <row r="124" spans="62:111"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</row>
    <row r="125" spans="62:111"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</row>
    <row r="126" spans="62:111"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</row>
    <row r="127" spans="62:111"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</row>
    <row r="128" spans="62:111"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</row>
    <row r="129" spans="62:111"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</row>
    <row r="130" spans="62:111"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</row>
    <row r="131" spans="62:111"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</row>
    <row r="132" spans="62:111"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</row>
    <row r="133" spans="62:111"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</row>
    <row r="134" spans="62:111"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</row>
    <row r="135" spans="62:111"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</row>
    <row r="136" spans="62:111"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</row>
    <row r="137" spans="62:111"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</row>
    <row r="138" spans="62:111"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</row>
    <row r="139" spans="62:111"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</row>
    <row r="140" spans="62:111"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</row>
    <row r="141" spans="62:111"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</row>
    <row r="142" spans="62:111"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</row>
    <row r="143" spans="62:111"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</row>
    <row r="144" spans="62:111"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</row>
    <row r="145" spans="62:111"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</row>
    <row r="146" spans="62:111"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</row>
    <row r="147" spans="62:111"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</row>
    <row r="148" spans="62:111"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</row>
    <row r="149" spans="62:111"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</row>
    <row r="150" spans="62:111"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</row>
    <row r="151" spans="62:111"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</row>
    <row r="152" spans="62:111"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</row>
    <row r="153" spans="62:111"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</row>
    <row r="154" spans="62:111"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</row>
    <row r="155" spans="62:111"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</row>
    <row r="156" spans="62:111"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</row>
    <row r="157" spans="62:111"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</row>
    <row r="158" spans="62:111"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</row>
    <row r="159" spans="62:111"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</row>
    <row r="160" spans="62:111"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</row>
    <row r="161" spans="62:111"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</row>
    <row r="162" spans="62:111"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</row>
    <row r="163" spans="62:111"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</row>
    <row r="164" spans="62:111"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</row>
    <row r="165" spans="62:111"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</row>
    <row r="166" spans="62:111"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</row>
    <row r="167" spans="62:111"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</row>
    <row r="168" spans="62:111"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</row>
    <row r="169" spans="62:111"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</row>
    <row r="170" spans="62:111"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</row>
    <row r="171" spans="62:111"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</row>
    <row r="172" spans="62:111"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</row>
    <row r="173" spans="62:111"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</row>
    <row r="174" spans="62:111"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</row>
    <row r="175" spans="62:111"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</row>
    <row r="176" spans="62:111"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</row>
    <row r="177" spans="62:111"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</row>
  </sheetData>
  <mergeCells count="1">
    <mergeCell ref="A1:C1"/>
  </mergeCells>
  <pageMargins left="0.7" right="0.7" top="0.75" bottom="0.75" header="0.3" footer="0.3"/>
  <pageSetup paperSize="9" orientation="portrait" horizontalDpi="300" verticalDpi="300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29</vt:i4>
      </vt:variant>
    </vt:vector>
  </HeadingPairs>
  <TitlesOfParts>
    <vt:vector size="36" baseType="lpstr">
      <vt:lpstr>Premissas</vt:lpstr>
      <vt:lpstr>Receita</vt:lpstr>
      <vt:lpstr>Investimentos_infra</vt:lpstr>
      <vt:lpstr>Despesas</vt:lpstr>
      <vt:lpstr>Custos</vt:lpstr>
      <vt:lpstr>Funcionários</vt:lpstr>
      <vt:lpstr>Resultados</vt:lpstr>
      <vt:lpstr>assinatura</vt:lpstr>
      <vt:lpstr>Company</vt:lpstr>
      <vt:lpstr>csll</vt:lpstr>
      <vt:lpstr>currency</vt:lpstr>
      <vt:lpstr>end</vt:lpstr>
      <vt:lpstr>Imp_f</vt:lpstr>
      <vt:lpstr>imp_fat</vt:lpstr>
      <vt:lpstr>ir</vt:lpstr>
      <vt:lpstr>ir_csll</vt:lpstr>
      <vt:lpstr>ISS</vt:lpstr>
      <vt:lpstr>M_1</vt:lpstr>
      <vt:lpstr>M_2</vt:lpstr>
      <vt:lpstr>M_3</vt:lpstr>
      <vt:lpstr>M_4</vt:lpstr>
      <vt:lpstr>M_5</vt:lpstr>
      <vt:lpstr>P_1</vt:lpstr>
      <vt:lpstr>P_2</vt:lpstr>
      <vt:lpstr>P_3</vt:lpstr>
      <vt:lpstr>P_4</vt:lpstr>
      <vt:lpstr>P_5</vt:lpstr>
      <vt:lpstr>reajuste</vt:lpstr>
      <vt:lpstr>reajuste_sal</vt:lpstr>
      <vt:lpstr>start</vt:lpstr>
      <vt:lpstr>T_1</vt:lpstr>
      <vt:lpstr>U_1</vt:lpstr>
      <vt:lpstr>U_2</vt:lpstr>
      <vt:lpstr>U_3</vt:lpstr>
      <vt:lpstr>U_4</vt:lpstr>
      <vt:lpstr>U_5</vt:lpstr>
    </vt:vector>
  </TitlesOfParts>
  <Company>JD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 Tourbr</dc:title>
  <dc:creator>jd</dc:creator>
  <cp:lastModifiedBy>Associacao</cp:lastModifiedBy>
  <cp:lastPrinted>2010-02-08T16:53:00Z</cp:lastPrinted>
  <dcterms:created xsi:type="dcterms:W3CDTF">2008-01-22T14:21:52Z</dcterms:created>
  <dcterms:modified xsi:type="dcterms:W3CDTF">2020-07-29T18:18:40Z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e20d8c0-0771-451f-966c-6b0de5568634_Enabled">
    <vt:lpwstr>True</vt:lpwstr>
  </property>
  <property fmtid="{D5CDD505-2E9C-101B-9397-08002B2CF9AE}" pid="3" name="MSIP_Label_7e20d8c0-0771-451f-966c-6b0de5568634_SiteId">
    <vt:lpwstr>aa06dce7-99d7-403b-8a08-0c5f50471e64</vt:lpwstr>
  </property>
  <property fmtid="{D5CDD505-2E9C-101B-9397-08002B2CF9AE}" pid="4" name="MSIP_Label_7e20d8c0-0771-451f-966c-6b0de5568634_Owner">
    <vt:lpwstr>ricardo.pestana@schindler.com</vt:lpwstr>
  </property>
  <property fmtid="{D5CDD505-2E9C-101B-9397-08002B2CF9AE}" pid="5" name="MSIP_Label_7e20d8c0-0771-451f-966c-6b0de5568634_SetDate">
    <vt:lpwstr>2020-04-02T00:34:42.3519433Z</vt:lpwstr>
  </property>
  <property fmtid="{D5CDD505-2E9C-101B-9397-08002B2CF9AE}" pid="6" name="MSIP_Label_7e20d8c0-0771-451f-966c-6b0de5568634_Name">
    <vt:lpwstr>Internal Use Only</vt:lpwstr>
  </property>
  <property fmtid="{D5CDD505-2E9C-101B-9397-08002B2CF9AE}" pid="7" name="MSIP_Label_7e20d8c0-0771-451f-966c-6b0de5568634_Application">
    <vt:lpwstr>Microsoft Azure Information Protection</vt:lpwstr>
  </property>
  <property fmtid="{D5CDD505-2E9C-101B-9397-08002B2CF9AE}" pid="8" name="MSIP_Label_7e20d8c0-0771-451f-966c-6b0de5568634_ActionId">
    <vt:lpwstr>1e7ba5da-d376-414a-881a-e33f1be65b3d</vt:lpwstr>
  </property>
  <property fmtid="{D5CDD505-2E9C-101B-9397-08002B2CF9AE}" pid="9" name="MSIP_Label_7e20d8c0-0771-451f-966c-6b0de5568634_Extended_MSFT_Method">
    <vt:lpwstr>Automatic</vt:lpwstr>
  </property>
  <property fmtid="{D5CDD505-2E9C-101B-9397-08002B2CF9AE}" pid="10" name="MSIP_Label_1dc4716b-92d5-4aa9-93a8-2ed8b74a3ef4_Enabled">
    <vt:lpwstr>True</vt:lpwstr>
  </property>
  <property fmtid="{D5CDD505-2E9C-101B-9397-08002B2CF9AE}" pid="11" name="MSIP_Label_1dc4716b-92d5-4aa9-93a8-2ed8b74a3ef4_SiteId">
    <vt:lpwstr>aa06dce7-99d7-403b-8a08-0c5f50471e64</vt:lpwstr>
  </property>
  <property fmtid="{D5CDD505-2E9C-101B-9397-08002B2CF9AE}" pid="12" name="MSIP_Label_1dc4716b-92d5-4aa9-93a8-2ed8b74a3ef4_Owner">
    <vt:lpwstr>ricardo.pestana@schindler.com</vt:lpwstr>
  </property>
  <property fmtid="{D5CDD505-2E9C-101B-9397-08002B2CF9AE}" pid="13" name="MSIP_Label_1dc4716b-92d5-4aa9-93a8-2ed8b74a3ef4_SetDate">
    <vt:lpwstr>2020-04-02T00:34:42.3519433Z</vt:lpwstr>
  </property>
  <property fmtid="{D5CDD505-2E9C-101B-9397-08002B2CF9AE}" pid="14" name="MSIP_Label_1dc4716b-92d5-4aa9-93a8-2ed8b74a3ef4_Name">
    <vt:lpwstr>Sharing with no encryption</vt:lpwstr>
  </property>
  <property fmtid="{D5CDD505-2E9C-101B-9397-08002B2CF9AE}" pid="15" name="MSIP_Label_1dc4716b-92d5-4aa9-93a8-2ed8b74a3ef4_Application">
    <vt:lpwstr>Microsoft Azure Information Protection</vt:lpwstr>
  </property>
  <property fmtid="{D5CDD505-2E9C-101B-9397-08002B2CF9AE}" pid="16" name="MSIP_Label_1dc4716b-92d5-4aa9-93a8-2ed8b74a3ef4_ActionId">
    <vt:lpwstr>1e7ba5da-d376-414a-881a-e33f1be65b3d</vt:lpwstr>
  </property>
  <property fmtid="{D5CDD505-2E9C-101B-9397-08002B2CF9AE}" pid="17" name="MSIP_Label_1dc4716b-92d5-4aa9-93a8-2ed8b74a3ef4_Parent">
    <vt:lpwstr>7e20d8c0-0771-451f-966c-6b0de5568634</vt:lpwstr>
  </property>
  <property fmtid="{D5CDD505-2E9C-101B-9397-08002B2CF9AE}" pid="18" name="MSIP_Label_1dc4716b-92d5-4aa9-93a8-2ed8b74a3ef4_Extended_MSFT_Method">
    <vt:lpwstr>Automatic</vt:lpwstr>
  </property>
  <property fmtid="{D5CDD505-2E9C-101B-9397-08002B2CF9AE}" pid="19" name="Sensitivity">
    <vt:lpwstr>Internal Use Only Sharing with no encryption</vt:lpwstr>
  </property>
</Properties>
</file>